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c\Documents\"/>
    </mc:Choice>
  </mc:AlternateContent>
  <bookViews>
    <workbookView xWindow="330" yWindow="15" windowWidth="11340" windowHeight="6540" tabRatio="268" firstSheet="1" activeTab="1"/>
  </bookViews>
  <sheets>
    <sheet name="Jr. Beregning Opr." sheetId="1" state="hidden" r:id="rId1"/>
    <sheet name="Ark 1" sheetId="3" r:id="rId2"/>
  </sheets>
  <calcPr calcId="152511"/>
</workbook>
</file>

<file path=xl/calcChain.xml><?xml version="1.0" encoding="utf-8"?>
<calcChain xmlns="http://schemas.openxmlformats.org/spreadsheetml/2006/main">
  <c r="K5" i="3" l="1"/>
  <c r="K17" i="3" l="1"/>
  <c r="K10" i="3" l="1"/>
  <c r="K13" i="3"/>
  <c r="K9" i="3"/>
  <c r="K11" i="3"/>
  <c r="K8" i="3"/>
  <c r="K7" i="3"/>
  <c r="K6" i="3"/>
  <c r="F5" i="3"/>
  <c r="F21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N8" i="1" l="1"/>
  <c r="M8" i="1"/>
  <c r="K44" i="1"/>
  <c r="L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8" i="1"/>
  <c r="F34" i="1"/>
  <c r="I44" i="1"/>
  <c r="C47" i="1"/>
  <c r="G53" i="1" l="1"/>
  <c r="F53" i="1"/>
  <c r="K9" i="1" l="1"/>
  <c r="K10" i="1"/>
  <c r="K12" i="1"/>
  <c r="K13" i="1"/>
  <c r="K14" i="1"/>
  <c r="K15" i="1"/>
  <c r="K17" i="1"/>
  <c r="K18" i="1"/>
  <c r="K20" i="1"/>
  <c r="K21" i="1"/>
  <c r="K22" i="1"/>
  <c r="K26" i="1"/>
  <c r="K28" i="1"/>
  <c r="K29" i="1"/>
  <c r="K30" i="1"/>
  <c r="K8" i="1"/>
  <c r="J32" i="1"/>
  <c r="J38" i="1" s="1"/>
  <c r="H55" i="1"/>
  <c r="H53" i="1"/>
  <c r="B58" i="1"/>
  <c r="M13" i="1"/>
  <c r="M27" i="1"/>
  <c r="M9" i="1"/>
  <c r="M10" i="1"/>
  <c r="M11" i="1"/>
  <c r="M14" i="1"/>
  <c r="M15" i="1"/>
  <c r="M16" i="1"/>
  <c r="M19" i="1"/>
  <c r="M20" i="1"/>
  <c r="M21" i="1"/>
  <c r="M23" i="1"/>
  <c r="M24" i="1"/>
  <c r="M25" i="1"/>
  <c r="M26" i="1"/>
  <c r="M28" i="1"/>
  <c r="I53" i="1" l="1"/>
  <c r="M18" i="1"/>
  <c r="M32" i="1"/>
  <c r="L32" i="1"/>
  <c r="L38" i="1" s="1"/>
  <c r="C50" i="1" l="1"/>
  <c r="I46" i="1"/>
  <c r="H38" i="1"/>
  <c r="G36" i="1"/>
  <c r="I32" i="1"/>
  <c r="I38" i="1" s="1"/>
  <c r="H32" i="1"/>
  <c r="C32" i="1"/>
  <c r="G27" i="1"/>
  <c r="K27" i="1" s="1"/>
  <c r="G25" i="1"/>
  <c r="K25" i="1" s="1"/>
  <c r="G24" i="1"/>
  <c r="K24" i="1" s="1"/>
  <c r="G23" i="1"/>
  <c r="K23" i="1" s="1"/>
  <c r="G19" i="1"/>
  <c r="K19" i="1" s="1"/>
  <c r="G16" i="1"/>
  <c r="K16" i="1" s="1"/>
  <c r="G11" i="1"/>
  <c r="K11" i="1" s="1"/>
  <c r="C43" i="1"/>
  <c r="C41" i="1"/>
  <c r="B35" i="1"/>
  <c r="D35" i="1" s="1"/>
  <c r="B28" i="1"/>
  <c r="D28" i="1" s="1"/>
  <c r="B21" i="1"/>
  <c r="D21" i="1" s="1"/>
  <c r="B20" i="1"/>
  <c r="D20" i="1" s="1"/>
  <c r="B19" i="1"/>
  <c r="D19" i="1" s="1"/>
  <c r="B27" i="1"/>
  <c r="D27" i="1" s="1"/>
  <c r="B15" i="1"/>
  <c r="D15" i="1" s="1"/>
  <c r="B11" i="1"/>
  <c r="D11" i="1" s="1"/>
  <c r="B25" i="1"/>
  <c r="D25" i="1" s="1"/>
  <c r="B26" i="1"/>
  <c r="D26" i="1" s="1"/>
  <c r="B14" i="1"/>
  <c r="D14" i="1" s="1"/>
  <c r="B8" i="1"/>
  <c r="D8" i="1" s="1"/>
  <c r="B18" i="1"/>
  <c r="D18" i="1" s="1"/>
  <c r="B13" i="1"/>
  <c r="D13" i="1" s="1"/>
  <c r="B10" i="1"/>
  <c r="D10" i="1" s="1"/>
  <c r="B9" i="1"/>
  <c r="D9" i="1" s="1"/>
  <c r="B24" i="1"/>
  <c r="D24" i="1" s="1"/>
  <c r="B16" i="1"/>
  <c r="D16" i="1" s="1"/>
  <c r="B23" i="1"/>
  <c r="D23" i="1" s="1"/>
  <c r="K32" i="1" l="1"/>
  <c r="I47" i="1"/>
  <c r="I49" i="1"/>
  <c r="C38" i="1"/>
  <c r="G32" i="1"/>
  <c r="G38" i="1" s="1"/>
  <c r="B32" i="1"/>
  <c r="D32" i="1" s="1"/>
  <c r="B38" i="1" l="1"/>
  <c r="D38" i="1" s="1"/>
  <c r="C51" i="1" l="1"/>
  <c r="C55" i="1" s="1"/>
  <c r="G55" i="1" l="1"/>
  <c r="I55" i="1" s="1"/>
  <c r="F55" i="1"/>
  <c r="N13" i="1" l="1"/>
  <c r="O13" i="1" s="1"/>
  <c r="N17" i="1"/>
  <c r="O17" i="1" s="1"/>
  <c r="N29" i="1"/>
  <c r="N16" i="1"/>
  <c r="O16" i="1" s="1"/>
  <c r="N28" i="1"/>
  <c r="O28" i="1" s="1"/>
  <c r="N22" i="1"/>
  <c r="O22" i="1" s="1"/>
  <c r="N15" i="1"/>
  <c r="O15" i="1" s="1"/>
  <c r="N27" i="1"/>
  <c r="O27" i="1" s="1"/>
  <c r="N12" i="1"/>
  <c r="O12" i="1" s="1"/>
  <c r="N24" i="1"/>
  <c r="O24" i="1" s="1"/>
  <c r="N18" i="1"/>
  <c r="O18" i="1" s="1"/>
  <c r="N19" i="1"/>
  <c r="O19" i="1" s="1"/>
  <c r="N26" i="1"/>
  <c r="O26" i="1" s="1"/>
  <c r="N21" i="1"/>
  <c r="O21" i="1" s="1"/>
  <c r="N23" i="1"/>
  <c r="O23" i="1" s="1"/>
  <c r="N11" i="1"/>
  <c r="O11" i="1" s="1"/>
  <c r="N14" i="1"/>
  <c r="O14" i="1" s="1"/>
  <c r="N9" i="1"/>
  <c r="O9" i="1" s="1"/>
  <c r="O8" i="1"/>
  <c r="N20" i="1"/>
  <c r="O20" i="1" s="1"/>
  <c r="N10" i="1"/>
  <c r="O10" i="1" s="1"/>
  <c r="N25" i="1"/>
  <c r="O25" i="1" s="1"/>
  <c r="O32" i="1" l="1"/>
  <c r="N32" i="1"/>
</calcChain>
</file>

<file path=xl/sharedStrings.xml><?xml version="1.0" encoding="utf-8"?>
<sst xmlns="http://schemas.openxmlformats.org/spreadsheetml/2006/main" count="121" uniqueCount="91">
  <si>
    <t>Forslag til ny tildelingsmodel til juniorklubber (og SFO2) ?</t>
  </si>
  <si>
    <t>Foreløbig fordelt i 2018</t>
  </si>
  <si>
    <t>Budget 376 01 110-06</t>
  </si>
  <si>
    <t xml:space="preserve">Budget i alt </t>
  </si>
  <si>
    <t>Blåbjergskolen - Nr. Nebel afd.</t>
  </si>
  <si>
    <t>Lykkesgårdskolen</t>
  </si>
  <si>
    <t>I alt</t>
  </si>
  <si>
    <t xml:space="preserve">Faktiske                                              juniorklub  pr. 5/9-2017                              </t>
  </si>
  <si>
    <t xml:space="preserve">Samlet antal elever i 4..6. kl. </t>
  </si>
  <si>
    <t>Tilmeldte i % af potientiel-le brugere</t>
  </si>
  <si>
    <t>Juniorklub-bens åb-ningsdage</t>
  </si>
  <si>
    <t>Agerbæk Skole</t>
  </si>
  <si>
    <t>80 kr./md.</t>
  </si>
  <si>
    <t>Alslev Skole</t>
  </si>
  <si>
    <t>200 kr. /md.</t>
  </si>
  <si>
    <t>Ansager Skole</t>
  </si>
  <si>
    <t>100 kr./md.</t>
  </si>
  <si>
    <t>Blåbjergskolen - Lunde-Kvong afd.</t>
  </si>
  <si>
    <t>0 kr./md.</t>
  </si>
  <si>
    <t>Brorsonskolen</t>
  </si>
  <si>
    <t>Horne Skole</t>
  </si>
  <si>
    <t>Janderup Skole</t>
  </si>
  <si>
    <t>Nordenskov Skole</t>
  </si>
  <si>
    <t>Næsbjerg Skole</t>
  </si>
  <si>
    <t>100 kr./½ år</t>
  </si>
  <si>
    <t>Outrup Skole</t>
  </si>
  <si>
    <t>50 kr./md.</t>
  </si>
  <si>
    <t>Sct. Jacobi Skole</t>
  </si>
  <si>
    <t>Starup Skole</t>
  </si>
  <si>
    <t>Thorstrup Skole</t>
  </si>
  <si>
    <t>200 kr. /½ år</t>
  </si>
  <si>
    <t>Tistrup Skole</t>
  </si>
  <si>
    <t>Ølgod Skole</t>
  </si>
  <si>
    <t>Årre Skole</t>
  </si>
  <si>
    <t>Billum</t>
  </si>
  <si>
    <t>Samlede tal</t>
  </si>
  <si>
    <t>SFO2</t>
  </si>
  <si>
    <t>Blavandshuk skole-Samuelsgården</t>
  </si>
  <si>
    <t>Regulering forældrebetaling i forhold til indmeldte børn</t>
  </si>
  <si>
    <t>510 kr./md.</t>
  </si>
  <si>
    <t>Tildeling pr. barn</t>
  </si>
  <si>
    <t>Minimumstildeling</t>
  </si>
  <si>
    <t xml:space="preserve"> (2017-pris)</t>
  </si>
  <si>
    <t xml:space="preserve">Børn tilmeldt  pr. 5/9-2017 </t>
  </si>
  <si>
    <t>Årlig forventet kontingent</t>
  </si>
  <si>
    <t>Kontingent gl. ordning</t>
  </si>
  <si>
    <t>Gens. fremmøde i uge 35 + 36 2017</t>
  </si>
  <si>
    <t>gens. fremmøde maj + sept. 2017</t>
  </si>
  <si>
    <t>Budget 2018:</t>
  </si>
  <si>
    <t>Tilskud fordelt i 2018 pr. fremmødebarn</t>
  </si>
  <si>
    <t>i gens. incl. minimumstildeling</t>
  </si>
  <si>
    <t>Tilskud fordelt ex. lukkede klubber</t>
  </si>
  <si>
    <t>Lukning Billum</t>
  </si>
  <si>
    <t xml:space="preserve">pr. måned i 11 mdr. </t>
  </si>
  <si>
    <t>Årlig kontingent ved</t>
  </si>
  <si>
    <t>Tilskud til Samuelsgården</t>
  </si>
  <si>
    <t>Budget excl. Samuelsgården</t>
  </si>
  <si>
    <t>Gens. tilmeldte/-fremmøde</t>
  </si>
  <si>
    <t>Kontingent pr. måned i 11 mdr.</t>
  </si>
  <si>
    <t>Årlig kontingent pr. barn</t>
  </si>
  <si>
    <t>Gens. tilskud pr. fremmødebarn</t>
  </si>
  <si>
    <t>Gens. tilskud pr. gens. barn</t>
  </si>
  <si>
    <t>Fremmødebørn i klubber, der lukker</t>
  </si>
  <si>
    <t>Fremmødebørn herefter</t>
  </si>
  <si>
    <t>excl. lukkede</t>
  </si>
  <si>
    <t>kontingent</t>
  </si>
  <si>
    <t>Foreløbig tildeling i 2018</t>
  </si>
  <si>
    <t>Ny tildeling</t>
  </si>
  <si>
    <t>incl. kontingent</t>
  </si>
  <si>
    <t>Forskel</t>
  </si>
  <si>
    <t>incl. evt. kontingent</t>
  </si>
  <si>
    <t>Nyt forslag</t>
  </si>
  <si>
    <t>Dok. 38922-18</t>
  </si>
  <si>
    <t>Lukning pga struktur 3 klubber</t>
  </si>
  <si>
    <t>Nr. Nebel</t>
  </si>
  <si>
    <t>Tistrup</t>
  </si>
  <si>
    <t>Ølgod</t>
  </si>
  <si>
    <t>Ansager</t>
  </si>
  <si>
    <t>Næsbjerg</t>
  </si>
  <si>
    <t>Total i alt:</t>
  </si>
  <si>
    <t>Varde</t>
  </si>
  <si>
    <t>SFO 3 Samuelgården</t>
  </si>
  <si>
    <t>"Tirsdagsklubben"</t>
  </si>
  <si>
    <t>Åbningsdage pr. år</t>
  </si>
  <si>
    <t>Åbnings-uger</t>
  </si>
  <si>
    <t>Åbningsdage i juniorklubber og ungdomsklubber 2018</t>
  </si>
  <si>
    <t xml:space="preserve">   Juniorklubber:</t>
  </si>
  <si>
    <t>Åbnings-dage pr. uge</t>
  </si>
  <si>
    <t>Ungdomsklubber</t>
  </si>
  <si>
    <t>SFO 2 Samuelsgården</t>
  </si>
  <si>
    <t>Agerbæk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</si>
</sst>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_);_(@_)"/>
    <numFmt numFmtId="166" formatCode="_ * #,##0.0_ ;_ * \-#,##0.0_ ;_ * &quot;-&quot;_ ;_ @_ "/>
    <numFmt numFmtId="167" formatCode="0.0%"/>
    <numFmt numFmtId="168" formatCode="_ * #,##0_ ;_ * \-#,##0_ ;_ * &quot;-&quot;??_ ;_ @_ "/>
    <numFmt numFmtId="169" formatCode="_(* #,##0.0_);_(* \(#,##0.0\);_(* &quot;-&quot;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E37222"/>
      </left>
      <right/>
      <top style="thick">
        <color rgb="FFE37222"/>
      </top>
      <bottom style="medium">
        <color rgb="FFE37222"/>
      </bottom>
      <diagonal/>
    </border>
    <border>
      <left/>
      <right/>
      <top style="thick">
        <color rgb="FFE37222"/>
      </top>
      <bottom style="medium">
        <color rgb="FFE37222"/>
      </bottom>
      <diagonal/>
    </border>
    <border>
      <left/>
      <right style="thick">
        <color rgb="FFE37222"/>
      </right>
      <top style="thick">
        <color rgb="FFE37222"/>
      </top>
      <bottom style="medium">
        <color rgb="FFE37222"/>
      </bottom>
      <diagonal/>
    </border>
    <border>
      <left style="thick">
        <color rgb="FFE37222"/>
      </left>
      <right/>
      <top/>
      <bottom/>
      <diagonal/>
    </border>
    <border>
      <left/>
      <right style="thick">
        <color rgb="FFE37222"/>
      </right>
      <top/>
      <bottom/>
      <diagonal/>
    </border>
    <border>
      <left style="thick">
        <color rgb="FFE37222"/>
      </left>
      <right/>
      <top style="dotted">
        <color rgb="FFE37222"/>
      </top>
      <bottom style="thick">
        <color rgb="FFE37222"/>
      </bottom>
      <diagonal/>
    </border>
    <border>
      <left/>
      <right/>
      <top style="dotted">
        <color rgb="FFE37222"/>
      </top>
      <bottom style="thick">
        <color rgb="FFE37222"/>
      </bottom>
      <diagonal/>
    </border>
    <border>
      <left/>
      <right style="thick">
        <color rgb="FFE37222"/>
      </right>
      <top style="dotted">
        <color rgb="FFE37222"/>
      </top>
      <bottom style="thick">
        <color rgb="FFE372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11" xfId="0" applyFont="1" applyBorder="1"/>
    <xf numFmtId="165" fontId="4" fillId="0" borderId="12" xfId="0" applyNumberFormat="1" applyFont="1" applyBorder="1"/>
    <xf numFmtId="3" fontId="4" fillId="3" borderId="12" xfId="0" applyNumberFormat="1" applyFont="1" applyFill="1" applyBorder="1"/>
    <xf numFmtId="166" fontId="4" fillId="0" borderId="12" xfId="0" applyNumberFormat="1" applyFont="1" applyBorder="1"/>
    <xf numFmtId="165" fontId="4" fillId="0" borderId="12" xfId="0" applyNumberFormat="1" applyFont="1" applyBorder="1" applyAlignment="1"/>
    <xf numFmtId="165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justify"/>
    </xf>
    <xf numFmtId="0" fontId="4" fillId="2" borderId="11" xfId="0" applyFont="1" applyFill="1" applyBorder="1"/>
    <xf numFmtId="165" fontId="4" fillId="4" borderId="12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3" xfId="0" applyFont="1" applyBorder="1"/>
    <xf numFmtId="165" fontId="4" fillId="0" borderId="3" xfId="0" applyNumberFormat="1" applyFont="1" applyBorder="1"/>
    <xf numFmtId="3" fontId="4" fillId="3" borderId="3" xfId="0" applyNumberFormat="1" applyFont="1" applyFill="1" applyBorder="1"/>
    <xf numFmtId="165" fontId="4" fillId="0" borderId="3" xfId="0" applyNumberFormat="1" applyFont="1" applyBorder="1" applyAlignment="1"/>
    <xf numFmtId="165" fontId="4" fillId="0" borderId="3" xfId="0" applyNumberFormat="1" applyFont="1" applyBorder="1" applyAlignment="1">
      <alignment horizontal="right"/>
    </xf>
    <xf numFmtId="0" fontId="4" fillId="0" borderId="8" xfId="0" applyFont="1" applyBorder="1"/>
    <xf numFmtId="165" fontId="4" fillId="0" borderId="9" xfId="0" applyNumberFormat="1" applyFont="1" applyBorder="1"/>
    <xf numFmtId="166" fontId="4" fillId="0" borderId="9" xfId="0" applyNumberFormat="1" applyFont="1" applyBorder="1"/>
    <xf numFmtId="167" fontId="4" fillId="0" borderId="7" xfId="0" applyNumberFormat="1" applyFont="1" applyBorder="1"/>
    <xf numFmtId="0" fontId="5" fillId="0" borderId="14" xfId="0" applyFont="1" applyBorder="1"/>
    <xf numFmtId="165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165" fontId="4" fillId="0" borderId="5" xfId="0" applyNumberFormat="1" applyFont="1" applyBorder="1"/>
    <xf numFmtId="3" fontId="4" fillId="3" borderId="5" xfId="0" applyNumberFormat="1" applyFont="1" applyFill="1" applyBorder="1"/>
    <xf numFmtId="166" fontId="4" fillId="0" borderId="5" xfId="0" applyNumberFormat="1" applyFont="1" applyBorder="1"/>
    <xf numFmtId="165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right"/>
    </xf>
    <xf numFmtId="0" fontId="4" fillId="0" borderId="15" xfId="0" applyFont="1" applyBorder="1"/>
    <xf numFmtId="165" fontId="4" fillId="0" borderId="9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165" fontId="4" fillId="0" borderId="7" xfId="0" applyNumberFormat="1" applyFont="1" applyBorder="1"/>
    <xf numFmtId="3" fontId="4" fillId="3" borderId="7" xfId="0" applyNumberFormat="1" applyFont="1" applyFill="1" applyBorder="1"/>
    <xf numFmtId="166" fontId="4" fillId="0" borderId="7" xfId="0" applyNumberFormat="1" applyFont="1" applyBorder="1"/>
    <xf numFmtId="165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right"/>
    </xf>
    <xf numFmtId="3" fontId="4" fillId="0" borderId="0" xfId="0" applyNumberFormat="1" applyFont="1"/>
    <xf numFmtId="3" fontId="5" fillId="0" borderId="9" xfId="0" applyNumberFormat="1" applyFont="1" applyBorder="1" applyAlignment="1">
      <alignment wrapText="1"/>
    </xf>
    <xf numFmtId="3" fontId="4" fillId="0" borderId="7" xfId="0" applyNumberFormat="1" applyFont="1" applyBorder="1"/>
    <xf numFmtId="3" fontId="4" fillId="0" borderId="1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3" fontId="4" fillId="0" borderId="9" xfId="0" applyNumberFormat="1" applyFont="1" applyBorder="1"/>
    <xf numFmtId="3" fontId="4" fillId="0" borderId="5" xfId="0" applyNumberFormat="1" applyFont="1" applyBorder="1" applyAlignment="1">
      <alignment horizontal="right"/>
    </xf>
    <xf numFmtId="0" fontId="5" fillId="5" borderId="9" xfId="0" applyFont="1" applyFill="1" applyBorder="1" applyAlignment="1">
      <alignment wrapText="1"/>
    </xf>
    <xf numFmtId="0" fontId="4" fillId="5" borderId="7" xfId="0" applyFont="1" applyFill="1" applyBorder="1"/>
    <xf numFmtId="168" fontId="4" fillId="5" borderId="12" xfId="1" applyNumberFormat="1" applyFont="1" applyFill="1" applyBorder="1"/>
    <xf numFmtId="168" fontId="6" fillId="5" borderId="12" xfId="1" applyNumberFormat="1" applyFont="1" applyFill="1" applyBorder="1"/>
    <xf numFmtId="165" fontId="4" fillId="5" borderId="9" xfId="0" applyNumberFormat="1" applyFont="1" applyFill="1" applyBorder="1"/>
    <xf numFmtId="168" fontId="4" fillId="5" borderId="5" xfId="1" applyNumberFormat="1" applyFont="1" applyFill="1" applyBorder="1"/>
    <xf numFmtId="0" fontId="5" fillId="6" borderId="9" xfId="0" applyFont="1" applyFill="1" applyBorder="1" applyAlignment="1">
      <alignment wrapText="1"/>
    </xf>
    <xf numFmtId="0" fontId="4" fillId="6" borderId="7" xfId="0" applyFont="1" applyFill="1" applyBorder="1"/>
    <xf numFmtId="165" fontId="4" fillId="6" borderId="12" xfId="0" applyNumberFormat="1" applyFont="1" applyFill="1" applyBorder="1" applyAlignment="1">
      <alignment wrapText="1"/>
    </xf>
    <xf numFmtId="165" fontId="4" fillId="6" borderId="12" xfId="0" applyNumberFormat="1" applyFont="1" applyFill="1" applyBorder="1"/>
    <xf numFmtId="165" fontId="4" fillId="6" borderId="9" xfId="0" applyNumberFormat="1" applyFont="1" applyFill="1" applyBorder="1"/>
    <xf numFmtId="165" fontId="4" fillId="6" borderId="5" xfId="0" applyNumberFormat="1" applyFont="1" applyFill="1" applyBorder="1"/>
    <xf numFmtId="0" fontId="7" fillId="0" borderId="0" xfId="0" applyFont="1"/>
    <xf numFmtId="0" fontId="2" fillId="0" borderId="0" xfId="0" applyFont="1"/>
    <xf numFmtId="165" fontId="0" fillId="0" borderId="0" xfId="0" applyNumberFormat="1"/>
    <xf numFmtId="165" fontId="4" fillId="2" borderId="12" xfId="0" applyNumberFormat="1" applyFont="1" applyFill="1" applyBorder="1" applyAlignment="1">
      <alignment wrapText="1"/>
    </xf>
    <xf numFmtId="169" fontId="4" fillId="0" borderId="9" xfId="0" applyNumberFormat="1" applyFont="1" applyBorder="1"/>
    <xf numFmtId="165" fontId="4" fillId="0" borderId="0" xfId="0" applyNumberFormat="1" applyFont="1"/>
    <xf numFmtId="0" fontId="4" fillId="0" borderId="16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7" borderId="0" xfId="0" applyFill="1"/>
    <xf numFmtId="1" fontId="0" fillId="7" borderId="0" xfId="0" applyNumberFormat="1" applyFill="1"/>
    <xf numFmtId="165" fontId="4" fillId="7" borderId="9" xfId="0" applyNumberFormat="1" applyFont="1" applyFill="1" applyBorder="1"/>
    <xf numFmtId="165" fontId="4" fillId="7" borderId="17" xfId="0" applyNumberFormat="1" applyFont="1" applyFill="1" applyBorder="1"/>
    <xf numFmtId="165" fontId="4" fillId="7" borderId="18" xfId="0" applyNumberFormat="1" applyFont="1" applyFill="1" applyBorder="1"/>
    <xf numFmtId="0" fontId="2" fillId="7" borderId="3" xfId="0" applyFont="1" applyFill="1" applyBorder="1" applyAlignment="1">
      <alignment wrapText="1"/>
    </xf>
    <xf numFmtId="0" fontId="0" fillId="7" borderId="5" xfId="0" applyFill="1" applyBorder="1"/>
    <xf numFmtId="0" fontId="2" fillId="7" borderId="5" xfId="0" applyFont="1" applyFill="1" applyBorder="1"/>
    <xf numFmtId="3" fontId="0" fillId="7" borderId="5" xfId="0" applyNumberFormat="1" applyFill="1" applyBorder="1"/>
    <xf numFmtId="0" fontId="0" fillId="7" borderId="7" xfId="0" applyFill="1" applyBorder="1"/>
    <xf numFmtId="0" fontId="2" fillId="7" borderId="2" xfId="0" applyFont="1" applyFill="1" applyBorder="1" applyAlignment="1">
      <alignment wrapText="1"/>
    </xf>
    <xf numFmtId="9" fontId="0" fillId="7" borderId="4" xfId="0" applyNumberFormat="1" applyFill="1" applyBorder="1"/>
    <xf numFmtId="0" fontId="0" fillId="7" borderId="6" xfId="0" applyFill="1" applyBorder="1"/>
    <xf numFmtId="0" fontId="2" fillId="7" borderId="7" xfId="0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wrapText="1"/>
    </xf>
    <xf numFmtId="3" fontId="4" fillId="0" borderId="5" xfId="0" applyNumberFormat="1" applyFont="1" applyBorder="1"/>
    <xf numFmtId="0" fontId="8" fillId="0" borderId="0" xfId="0" applyFont="1"/>
    <xf numFmtId="3" fontId="8" fillId="0" borderId="0" xfId="1" applyNumberFormat="1" applyFont="1" applyBorder="1"/>
    <xf numFmtId="3" fontId="8" fillId="0" borderId="23" xfId="1" applyNumberFormat="1" applyFont="1" applyBorder="1"/>
    <xf numFmtId="0" fontId="8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/>
    <xf numFmtId="0" fontId="0" fillId="0" borderId="0" xfId="0" applyBorder="1"/>
    <xf numFmtId="0" fontId="0" fillId="0" borderId="22" xfId="0" applyBorder="1"/>
    <xf numFmtId="0" fontId="12" fillId="0" borderId="0" xfId="0" applyFont="1" applyBorder="1"/>
    <xf numFmtId="3" fontId="8" fillId="0" borderId="25" xfId="1" applyNumberFormat="1" applyFont="1" applyBorder="1"/>
    <xf numFmtId="0" fontId="11" fillId="0" borderId="19" xfId="0" applyFont="1" applyBorder="1" applyAlignment="1">
      <alignment vertical="center" wrapText="1"/>
    </xf>
    <xf numFmtId="3" fontId="0" fillId="0" borderId="0" xfId="0" applyNumberFormat="1" applyBorder="1"/>
    <xf numFmtId="3" fontId="8" fillId="8" borderId="0" xfId="1" applyNumberFormat="1" applyFont="1" applyFill="1" applyBorder="1"/>
    <xf numFmtId="3" fontId="8" fillId="8" borderId="23" xfId="1" applyNumberFormat="1" applyFont="1" applyFill="1" applyBorder="1"/>
    <xf numFmtId="3" fontId="8" fillId="0" borderId="0" xfId="1" applyNumberFormat="1" applyFont="1" applyFill="1" applyBorder="1"/>
    <xf numFmtId="0" fontId="0" fillId="0" borderId="0" xfId="0" applyFill="1"/>
    <xf numFmtId="0" fontId="0" fillId="0" borderId="22" xfId="0" applyFill="1" applyBorder="1"/>
    <xf numFmtId="3" fontId="0" fillId="9" borderId="0" xfId="0" applyNumberFormat="1" applyFill="1" applyBorder="1"/>
    <xf numFmtId="0" fontId="10" fillId="9" borderId="22" xfId="0" applyFont="1" applyFill="1" applyBorder="1"/>
    <xf numFmtId="0" fontId="12" fillId="0" borderId="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3" fillId="0" borderId="0" xfId="0" applyFont="1"/>
    <xf numFmtId="0" fontId="9" fillId="0" borderId="0" xfId="0" applyFont="1"/>
    <xf numFmtId="3" fontId="8" fillId="0" borderId="26" xfId="1" applyNumberFormat="1" applyFont="1" applyBorder="1"/>
    <xf numFmtId="0" fontId="5" fillId="0" borderId="20" xfId="1" applyNumberFormat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 wrapText="1"/>
    </xf>
    <xf numFmtId="3" fontId="0" fillId="0" borderId="23" xfId="0" applyNumberFormat="1" applyBorder="1"/>
    <xf numFmtId="3" fontId="8" fillId="0" borderId="23" xfId="1" applyNumberFormat="1" applyFont="1" applyFill="1" applyBorder="1"/>
    <xf numFmtId="0" fontId="10" fillId="8" borderId="22" xfId="0" applyFont="1" applyFill="1" applyBorder="1"/>
    <xf numFmtId="0" fontId="10" fillId="0" borderId="22" xfId="0" applyFont="1" applyFill="1" applyBorder="1"/>
    <xf numFmtId="3" fontId="4" fillId="0" borderId="0" xfId="1" applyNumberFormat="1" applyFont="1" applyFill="1" applyBorder="1"/>
    <xf numFmtId="0" fontId="4" fillId="0" borderId="24" xfId="0" applyFont="1" applyFill="1" applyBorder="1"/>
    <xf numFmtId="3" fontId="0" fillId="0" borderId="25" xfId="0" applyNumberFormat="1" applyFill="1" applyBorder="1"/>
    <xf numFmtId="3" fontId="0" fillId="0" borderId="26" xfId="0" applyNumberFormat="1" applyFill="1" applyBorder="1"/>
    <xf numFmtId="0" fontId="10" fillId="0" borderId="0" xfId="0" applyFont="1" applyBorder="1"/>
    <xf numFmtId="0" fontId="10" fillId="8" borderId="0" xfId="0" applyFont="1" applyFill="1" applyBorder="1"/>
    <xf numFmtId="0" fontId="10" fillId="0" borderId="0" xfId="0" applyFont="1" applyFill="1" applyBorder="1"/>
    <xf numFmtId="0" fontId="14" fillId="0" borderId="0" xfId="0" applyFont="1" applyFill="1"/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E37222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19" workbookViewId="0">
      <selection activeCell="A43" sqref="A43"/>
    </sheetView>
  </sheetViews>
  <sheetFormatPr defaultRowHeight="12.75" x14ac:dyDescent="0.2"/>
  <cols>
    <col min="1" max="1" width="29.85546875" customWidth="1"/>
    <col min="2" max="2" width="13.85546875" style="1" customWidth="1"/>
    <col min="3" max="3" width="12.42578125" style="4" customWidth="1"/>
    <col min="4" max="4" width="11.85546875" style="4" customWidth="1"/>
    <col min="5" max="5" width="10.42578125" style="4" customWidth="1"/>
    <col min="6" max="6" width="16.85546875" style="4" customWidth="1"/>
    <col min="7" max="7" width="13.7109375" style="48" customWidth="1"/>
    <col min="8" max="8" width="12.7109375" customWidth="1"/>
    <col min="9" max="9" width="12.28515625" customWidth="1"/>
    <col min="10" max="11" width="15.28515625" customWidth="1"/>
    <col min="12" max="12" width="14.28515625" customWidth="1"/>
    <col min="13" max="15" width="17.28515625" customWidth="1"/>
  </cols>
  <sheetData>
    <row r="1" spans="1:16" ht="15.75" x14ac:dyDescent="0.25">
      <c r="A1" s="3" t="s">
        <v>0</v>
      </c>
    </row>
    <row r="3" spans="1:16" ht="13.5" thickBot="1" x14ac:dyDescent="0.25">
      <c r="A3" s="4"/>
      <c r="B3" s="4"/>
      <c r="E3" s="5"/>
      <c r="L3" s="79" t="s">
        <v>71</v>
      </c>
      <c r="M3" s="79"/>
      <c r="N3" s="79"/>
      <c r="O3" s="79"/>
      <c r="P3" s="79"/>
    </row>
    <row r="4" spans="1:16" ht="48.75" thickBot="1" x14ac:dyDescent="0.25">
      <c r="A4" s="6" t="s">
        <v>7</v>
      </c>
      <c r="B4" s="7" t="s">
        <v>8</v>
      </c>
      <c r="C4" s="7" t="s">
        <v>43</v>
      </c>
      <c r="D4" s="7" t="s">
        <v>9</v>
      </c>
      <c r="E4" s="8" t="s">
        <v>10</v>
      </c>
      <c r="F4" s="7" t="s">
        <v>45</v>
      </c>
      <c r="G4" s="49" t="s">
        <v>44</v>
      </c>
      <c r="H4" s="58" t="s">
        <v>46</v>
      </c>
      <c r="I4" s="64" t="s">
        <v>47</v>
      </c>
      <c r="J4" s="49" t="s">
        <v>66</v>
      </c>
      <c r="K4" s="95" t="s">
        <v>70</v>
      </c>
      <c r="L4" s="89" t="s">
        <v>57</v>
      </c>
      <c r="M4" s="84" t="s">
        <v>54</v>
      </c>
      <c r="N4" s="84" t="s">
        <v>67</v>
      </c>
      <c r="O4" s="84"/>
      <c r="P4" s="79"/>
    </row>
    <row r="5" spans="1:16" x14ac:dyDescent="0.2">
      <c r="A5" s="9"/>
      <c r="B5" s="10"/>
      <c r="C5" s="10"/>
      <c r="D5" s="10"/>
      <c r="E5" s="11"/>
      <c r="F5" s="10"/>
      <c r="G5" s="50"/>
      <c r="H5" s="59"/>
      <c r="I5" s="65"/>
      <c r="J5" s="50"/>
      <c r="K5" s="96"/>
      <c r="L5" s="90" t="s">
        <v>64</v>
      </c>
      <c r="M5" s="85">
        <v>200</v>
      </c>
      <c r="N5" s="85" t="s">
        <v>68</v>
      </c>
      <c r="O5" s="85" t="s">
        <v>69</v>
      </c>
      <c r="P5" s="79"/>
    </row>
    <row r="6" spans="1:16" x14ac:dyDescent="0.2">
      <c r="A6" s="9"/>
      <c r="B6" s="10"/>
      <c r="C6" s="10"/>
      <c r="D6" s="10"/>
      <c r="E6" s="11"/>
      <c r="F6" s="10"/>
      <c r="G6" s="50"/>
      <c r="H6" s="60"/>
      <c r="I6" s="66"/>
      <c r="J6" s="50"/>
      <c r="K6" s="50"/>
      <c r="L6" s="91"/>
      <c r="M6" s="92" t="s">
        <v>53</v>
      </c>
      <c r="N6" s="92"/>
      <c r="O6" s="92"/>
      <c r="P6" s="79"/>
    </row>
    <row r="7" spans="1:16" x14ac:dyDescent="0.2">
      <c r="A7" s="9"/>
      <c r="B7" s="10"/>
      <c r="C7" s="10"/>
      <c r="D7" s="10"/>
      <c r="E7" s="11"/>
      <c r="F7" s="10"/>
      <c r="G7" s="50"/>
      <c r="H7" s="60"/>
      <c r="I7" s="66"/>
      <c r="J7" s="50"/>
      <c r="K7" s="93"/>
      <c r="L7" s="79"/>
      <c r="M7" s="86"/>
      <c r="N7" s="86"/>
      <c r="O7" s="86"/>
      <c r="P7" s="79"/>
    </row>
    <row r="8" spans="1:16" x14ac:dyDescent="0.2">
      <c r="A8" s="18" t="s">
        <v>21</v>
      </c>
      <c r="B8" s="13">
        <f>12+19+8</f>
        <v>39</v>
      </c>
      <c r="C8" s="14">
        <v>42</v>
      </c>
      <c r="D8" s="15">
        <f>C8/B8%</f>
        <v>107.69230769230769</v>
      </c>
      <c r="E8" s="16">
        <v>3</v>
      </c>
      <c r="F8" s="17" t="s">
        <v>18</v>
      </c>
      <c r="G8" s="51">
        <v>0</v>
      </c>
      <c r="H8" s="60">
        <v>21</v>
      </c>
      <c r="I8" s="66">
        <v>20</v>
      </c>
      <c r="J8" s="51">
        <v>241014</v>
      </c>
      <c r="K8" s="94">
        <f>J8+G8</f>
        <v>241014</v>
      </c>
      <c r="L8" s="80">
        <f>B8*40%</f>
        <v>15.600000000000001</v>
      </c>
      <c r="M8" s="87">
        <f>L8*$M$5*11</f>
        <v>34320.000000000007</v>
      </c>
      <c r="N8" s="87">
        <f>L8*$I$55</f>
        <v>147813.7671723419</v>
      </c>
      <c r="O8" s="87">
        <f>N8-K8</f>
        <v>-93200.232827658096</v>
      </c>
      <c r="P8" s="79"/>
    </row>
    <row r="9" spans="1:16" x14ac:dyDescent="0.2">
      <c r="A9" s="18" t="s">
        <v>17</v>
      </c>
      <c r="B9" s="13">
        <f>12+21+25</f>
        <v>58</v>
      </c>
      <c r="C9" s="14">
        <v>56</v>
      </c>
      <c r="D9" s="15">
        <f>C9/B9%</f>
        <v>96.551724137931046</v>
      </c>
      <c r="E9" s="16">
        <v>4</v>
      </c>
      <c r="F9" s="17" t="s">
        <v>18</v>
      </c>
      <c r="G9" s="51">
        <v>0</v>
      </c>
      <c r="H9" s="60">
        <v>29</v>
      </c>
      <c r="I9" s="66">
        <v>25</v>
      </c>
      <c r="J9" s="51">
        <v>300087</v>
      </c>
      <c r="K9" s="94">
        <f t="shared" ref="K9:K30" si="0">J9+G9</f>
        <v>300087</v>
      </c>
      <c r="L9" s="80">
        <f t="shared" ref="L9:L31" si="1">B9*40%</f>
        <v>23.200000000000003</v>
      </c>
      <c r="M9" s="87">
        <f t="shared" ref="M9:M28" si="2">L9*$M$5*11</f>
        <v>51040.000000000007</v>
      </c>
      <c r="N9" s="87">
        <f t="shared" ref="N9:N29" si="3">L9*$I$55</f>
        <v>219825.60246143155</v>
      </c>
      <c r="O9" s="87">
        <f t="shared" ref="O9:O28" si="4">N9-K9</f>
        <v>-80261.397538568446</v>
      </c>
      <c r="P9" s="79"/>
    </row>
    <row r="10" spans="1:16" x14ac:dyDescent="0.2">
      <c r="A10" s="18" t="s">
        <v>4</v>
      </c>
      <c r="B10" s="13">
        <f>22+27+22</f>
        <v>71</v>
      </c>
      <c r="C10" s="14">
        <v>58</v>
      </c>
      <c r="D10" s="15">
        <f>C10/B10%</f>
        <v>81.690140845070431</v>
      </c>
      <c r="E10" s="16">
        <v>4</v>
      </c>
      <c r="F10" s="17" t="s">
        <v>18</v>
      </c>
      <c r="G10" s="51">
        <v>0</v>
      </c>
      <c r="H10" s="60">
        <v>36</v>
      </c>
      <c r="I10" s="66">
        <v>34</v>
      </c>
      <c r="J10" s="51">
        <v>405629</v>
      </c>
      <c r="K10" s="94">
        <f t="shared" si="0"/>
        <v>405629</v>
      </c>
      <c r="L10" s="80">
        <f t="shared" si="1"/>
        <v>28.400000000000002</v>
      </c>
      <c r="M10" s="87">
        <f t="shared" si="2"/>
        <v>62480</v>
      </c>
      <c r="N10" s="87">
        <f t="shared" si="3"/>
        <v>269096.85818554554</v>
      </c>
      <c r="O10" s="87">
        <f t="shared" si="4"/>
        <v>-136532.14181445446</v>
      </c>
      <c r="P10" s="79"/>
    </row>
    <row r="11" spans="1:16" x14ac:dyDescent="0.2">
      <c r="A11" s="12" t="s">
        <v>25</v>
      </c>
      <c r="B11" s="13">
        <f>17+24+22</f>
        <v>63</v>
      </c>
      <c r="C11" s="14">
        <v>39</v>
      </c>
      <c r="D11" s="15">
        <f>C11/B11%</f>
        <v>61.904761904761905</v>
      </c>
      <c r="E11" s="16">
        <v>4</v>
      </c>
      <c r="F11" s="17" t="s">
        <v>26</v>
      </c>
      <c r="G11" s="51">
        <f>50*11*C11</f>
        <v>21450</v>
      </c>
      <c r="H11" s="60">
        <v>14</v>
      </c>
      <c r="I11" s="66">
        <v>14</v>
      </c>
      <c r="J11" s="51">
        <v>200546</v>
      </c>
      <c r="K11" s="94">
        <f t="shared" si="0"/>
        <v>221996</v>
      </c>
      <c r="L11" s="80">
        <f t="shared" si="1"/>
        <v>25.200000000000003</v>
      </c>
      <c r="M11" s="87">
        <f t="shared" si="2"/>
        <v>55440.000000000007</v>
      </c>
      <c r="N11" s="87">
        <f t="shared" si="3"/>
        <v>238776.08543224464</v>
      </c>
      <c r="O11" s="87">
        <f t="shared" si="4"/>
        <v>16780.085432244639</v>
      </c>
      <c r="P11" s="79"/>
    </row>
    <row r="12" spans="1:16" x14ac:dyDescent="0.2">
      <c r="A12" s="9"/>
      <c r="B12" s="10"/>
      <c r="C12" s="10"/>
      <c r="D12" s="10"/>
      <c r="E12" s="11"/>
      <c r="F12" s="10"/>
      <c r="G12" s="50"/>
      <c r="H12" s="60"/>
      <c r="I12" s="66"/>
      <c r="J12" s="50"/>
      <c r="K12" s="94">
        <f t="shared" si="0"/>
        <v>0</v>
      </c>
      <c r="L12" s="80">
        <f t="shared" si="1"/>
        <v>0</v>
      </c>
      <c r="M12" s="87"/>
      <c r="N12" s="87">
        <f t="shared" si="3"/>
        <v>0</v>
      </c>
      <c r="O12" s="87">
        <f t="shared" si="4"/>
        <v>0</v>
      </c>
      <c r="P12" s="79"/>
    </row>
    <row r="13" spans="1:16" x14ac:dyDescent="0.2">
      <c r="A13" s="19" t="s">
        <v>19</v>
      </c>
      <c r="B13" s="13">
        <f>76+74+75</f>
        <v>225</v>
      </c>
      <c r="C13" s="14">
        <v>165</v>
      </c>
      <c r="D13" s="15">
        <f>C13/B13%</f>
        <v>73.333333333333329</v>
      </c>
      <c r="E13" s="16">
        <v>4</v>
      </c>
      <c r="F13" s="17" t="s">
        <v>18</v>
      </c>
      <c r="G13" s="51">
        <v>0</v>
      </c>
      <c r="H13" s="60">
        <v>20</v>
      </c>
      <c r="I13" s="73">
        <v>16</v>
      </c>
      <c r="J13" s="51">
        <v>200546</v>
      </c>
      <c r="K13" s="94">
        <f t="shared" si="0"/>
        <v>200546</v>
      </c>
      <c r="L13" s="80">
        <f t="shared" si="1"/>
        <v>90</v>
      </c>
      <c r="M13" s="87">
        <f t="shared" si="2"/>
        <v>198000</v>
      </c>
      <c r="N13" s="87">
        <f t="shared" si="3"/>
        <v>852771.73368658789</v>
      </c>
      <c r="O13" s="87">
        <f t="shared" si="4"/>
        <v>652225.73368658789</v>
      </c>
      <c r="P13" s="79"/>
    </row>
    <row r="14" spans="1:16" x14ac:dyDescent="0.2">
      <c r="A14" s="18" t="s">
        <v>5</v>
      </c>
      <c r="B14" s="13">
        <f>50+50+44</f>
        <v>144</v>
      </c>
      <c r="C14" s="14">
        <v>121</v>
      </c>
      <c r="D14" s="15">
        <f>C14/B14%</f>
        <v>84.027777777777786</v>
      </c>
      <c r="E14" s="16">
        <v>3</v>
      </c>
      <c r="F14" s="17" t="s">
        <v>18</v>
      </c>
      <c r="G14" s="51">
        <v>0</v>
      </c>
      <c r="H14" s="60">
        <v>34</v>
      </c>
      <c r="I14" s="66">
        <v>28</v>
      </c>
      <c r="J14" s="51">
        <v>326669</v>
      </c>
      <c r="K14" s="94">
        <f t="shared" si="0"/>
        <v>326669</v>
      </c>
      <c r="L14" s="80">
        <f t="shared" si="1"/>
        <v>57.6</v>
      </c>
      <c r="M14" s="87">
        <f t="shared" si="2"/>
        <v>126720</v>
      </c>
      <c r="N14" s="87">
        <f t="shared" si="3"/>
        <v>545773.90955941624</v>
      </c>
      <c r="O14" s="87">
        <f t="shared" si="4"/>
        <v>219104.90955941624</v>
      </c>
      <c r="P14" s="79"/>
    </row>
    <row r="15" spans="1:16" x14ac:dyDescent="0.2">
      <c r="A15" s="19" t="s">
        <v>27</v>
      </c>
      <c r="B15" s="13">
        <f>48+30+35</f>
        <v>113</v>
      </c>
      <c r="C15" s="14">
        <v>53</v>
      </c>
      <c r="D15" s="15">
        <f>C15/B15%</f>
        <v>46.902654867256643</v>
      </c>
      <c r="E15" s="16">
        <v>3</v>
      </c>
      <c r="F15" s="17" t="s">
        <v>18</v>
      </c>
      <c r="G15" s="51">
        <v>0</v>
      </c>
      <c r="H15" s="60">
        <v>12</v>
      </c>
      <c r="I15" s="73">
        <v>11</v>
      </c>
      <c r="J15" s="51">
        <v>200546</v>
      </c>
      <c r="K15" s="94">
        <f t="shared" si="0"/>
        <v>200546</v>
      </c>
      <c r="L15" s="80">
        <f t="shared" si="1"/>
        <v>45.2</v>
      </c>
      <c r="M15" s="87">
        <f t="shared" si="2"/>
        <v>99440</v>
      </c>
      <c r="N15" s="87">
        <f t="shared" si="3"/>
        <v>428280.91514037526</v>
      </c>
      <c r="O15" s="87">
        <f t="shared" si="4"/>
        <v>227734.91514037526</v>
      </c>
      <c r="P15" s="79"/>
    </row>
    <row r="16" spans="1:16" x14ac:dyDescent="0.2">
      <c r="A16" s="12" t="s">
        <v>13</v>
      </c>
      <c r="B16" s="13">
        <f>33+12+24</f>
        <v>69</v>
      </c>
      <c r="C16" s="14">
        <v>32</v>
      </c>
      <c r="D16" s="15">
        <f>C16/B16%</f>
        <v>46.376811594202906</v>
      </c>
      <c r="E16" s="16">
        <v>3</v>
      </c>
      <c r="F16" s="17" t="s">
        <v>14</v>
      </c>
      <c r="G16" s="51">
        <f>200*11*C16</f>
        <v>70400</v>
      </c>
      <c r="H16" s="60">
        <v>19</v>
      </c>
      <c r="I16" s="66">
        <v>14</v>
      </c>
      <c r="J16" s="51">
        <v>200546</v>
      </c>
      <c r="K16" s="94">
        <f t="shared" si="0"/>
        <v>270946</v>
      </c>
      <c r="L16" s="80">
        <f t="shared" si="1"/>
        <v>27.6</v>
      </c>
      <c r="M16" s="87">
        <f t="shared" si="2"/>
        <v>60720</v>
      </c>
      <c r="N16" s="87">
        <f t="shared" si="3"/>
        <v>261516.6649972203</v>
      </c>
      <c r="O16" s="87">
        <f t="shared" si="4"/>
        <v>-9429.3350027796987</v>
      </c>
      <c r="P16" s="79"/>
    </row>
    <row r="17" spans="1:16" x14ac:dyDescent="0.2">
      <c r="A17" s="9"/>
      <c r="B17" s="43"/>
      <c r="C17" s="44"/>
      <c r="D17" s="45"/>
      <c r="E17" s="46"/>
      <c r="F17" s="47"/>
      <c r="G17" s="52"/>
      <c r="H17" s="60"/>
      <c r="I17" s="66"/>
      <c r="J17" s="52"/>
      <c r="K17" s="94">
        <f t="shared" si="0"/>
        <v>0</v>
      </c>
      <c r="L17" s="80">
        <f t="shared" si="1"/>
        <v>0</v>
      </c>
      <c r="M17" s="87"/>
      <c r="N17" s="87">
        <f t="shared" si="3"/>
        <v>0</v>
      </c>
      <c r="O17" s="87">
        <f t="shared" si="4"/>
        <v>0</v>
      </c>
      <c r="P17" s="79"/>
    </row>
    <row r="18" spans="1:16" x14ac:dyDescent="0.2">
      <c r="A18" s="12" t="s">
        <v>20</v>
      </c>
      <c r="B18" s="13">
        <f>14+10+12</f>
        <v>36</v>
      </c>
      <c r="C18" s="14">
        <v>31</v>
      </c>
      <c r="D18" s="15">
        <f>C18/B18%</f>
        <v>86.111111111111114</v>
      </c>
      <c r="E18" s="16">
        <v>3</v>
      </c>
      <c r="F18" s="20" t="s">
        <v>18</v>
      </c>
      <c r="G18" s="53">
        <v>0</v>
      </c>
      <c r="H18" s="60">
        <v>17</v>
      </c>
      <c r="I18" s="66">
        <v>11</v>
      </c>
      <c r="J18" s="51">
        <v>200546</v>
      </c>
      <c r="K18" s="94">
        <f t="shared" si="0"/>
        <v>200546</v>
      </c>
      <c r="L18" s="80">
        <f t="shared" si="1"/>
        <v>14.4</v>
      </c>
      <c r="M18" s="87">
        <f t="shared" si="2"/>
        <v>31680</v>
      </c>
      <c r="N18" s="87">
        <f t="shared" si="3"/>
        <v>136443.47738985406</v>
      </c>
      <c r="O18" s="87">
        <f t="shared" si="4"/>
        <v>-64102.522610145941</v>
      </c>
      <c r="P18" s="79"/>
    </row>
    <row r="19" spans="1:16" x14ac:dyDescent="0.2">
      <c r="A19" s="12" t="s">
        <v>29</v>
      </c>
      <c r="B19" s="13">
        <f>14+15+14</f>
        <v>43</v>
      </c>
      <c r="C19" s="14">
        <v>40</v>
      </c>
      <c r="D19" s="15">
        <f>C19/B19%</f>
        <v>93.023255813953483</v>
      </c>
      <c r="E19" s="16">
        <v>3</v>
      </c>
      <c r="F19" s="17" t="s">
        <v>30</v>
      </c>
      <c r="G19" s="51">
        <f>200*2*C19</f>
        <v>16000</v>
      </c>
      <c r="H19" s="60">
        <v>14</v>
      </c>
      <c r="I19" s="66">
        <v>13</v>
      </c>
      <c r="J19" s="51">
        <v>200546</v>
      </c>
      <c r="K19" s="94">
        <f t="shared" si="0"/>
        <v>216546</v>
      </c>
      <c r="L19" s="80">
        <f t="shared" si="1"/>
        <v>17.2</v>
      </c>
      <c r="M19" s="87">
        <f t="shared" si="2"/>
        <v>37840</v>
      </c>
      <c r="N19" s="87">
        <f t="shared" si="3"/>
        <v>162974.15354899236</v>
      </c>
      <c r="O19" s="87">
        <f t="shared" si="4"/>
        <v>-53571.846451007645</v>
      </c>
      <c r="P19" s="79"/>
    </row>
    <row r="20" spans="1:16" x14ac:dyDescent="0.2">
      <c r="A20" s="21" t="s">
        <v>31</v>
      </c>
      <c r="B20" s="13">
        <f>19+25+19</f>
        <v>63</v>
      </c>
      <c r="C20" s="14">
        <v>29</v>
      </c>
      <c r="D20" s="15">
        <f>C20/B20%</f>
        <v>46.031746031746032</v>
      </c>
      <c r="E20" s="16">
        <v>3</v>
      </c>
      <c r="F20" s="20" t="s">
        <v>18</v>
      </c>
      <c r="G20" s="53">
        <v>0</v>
      </c>
      <c r="H20" s="60">
        <v>20</v>
      </c>
      <c r="I20" s="66">
        <v>17</v>
      </c>
      <c r="J20" s="51">
        <v>202814</v>
      </c>
      <c r="K20" s="94">
        <f t="shared" si="0"/>
        <v>202814</v>
      </c>
      <c r="L20" s="80">
        <f t="shared" si="1"/>
        <v>25.200000000000003</v>
      </c>
      <c r="M20" s="87">
        <f t="shared" si="2"/>
        <v>55440.000000000007</v>
      </c>
      <c r="N20" s="87">
        <f t="shared" si="3"/>
        <v>238776.08543224464</v>
      </c>
      <c r="O20" s="87">
        <f t="shared" si="4"/>
        <v>35962.085432244639</v>
      </c>
      <c r="P20" s="79"/>
    </row>
    <row r="21" spans="1:16" x14ac:dyDescent="0.2">
      <c r="A21" s="12" t="s">
        <v>32</v>
      </c>
      <c r="B21" s="13">
        <f>58+62+54</f>
        <v>174</v>
      </c>
      <c r="C21" s="14">
        <v>164</v>
      </c>
      <c r="D21" s="15">
        <f>C21/B21%</f>
        <v>94.252873563218387</v>
      </c>
      <c r="E21" s="16">
        <v>4</v>
      </c>
      <c r="F21" s="17" t="s">
        <v>18</v>
      </c>
      <c r="G21" s="51">
        <v>0</v>
      </c>
      <c r="H21" s="60">
        <v>38</v>
      </c>
      <c r="I21" s="66">
        <v>39</v>
      </c>
      <c r="J21" s="51">
        <v>464455</v>
      </c>
      <c r="K21" s="94">
        <f t="shared" si="0"/>
        <v>464455</v>
      </c>
      <c r="L21" s="80">
        <f t="shared" si="1"/>
        <v>69.600000000000009</v>
      </c>
      <c r="M21" s="87">
        <f t="shared" si="2"/>
        <v>153120.00000000003</v>
      </c>
      <c r="N21" s="87">
        <f t="shared" si="3"/>
        <v>659476.80738429469</v>
      </c>
      <c r="O21" s="87">
        <f t="shared" si="4"/>
        <v>195021.80738429469</v>
      </c>
      <c r="P21" s="79"/>
    </row>
    <row r="22" spans="1:16" x14ac:dyDescent="0.2">
      <c r="A22" s="9"/>
      <c r="B22" s="10"/>
      <c r="C22" s="10"/>
      <c r="D22" s="10"/>
      <c r="E22" s="11"/>
      <c r="F22" s="10"/>
      <c r="G22" s="50"/>
      <c r="H22" s="60"/>
      <c r="I22" s="66"/>
      <c r="J22" s="50"/>
      <c r="K22" s="94">
        <f t="shared" si="0"/>
        <v>0</v>
      </c>
      <c r="L22" s="80">
        <f t="shared" si="1"/>
        <v>0</v>
      </c>
      <c r="M22" s="87"/>
      <c r="N22" s="87">
        <f t="shared" si="3"/>
        <v>0</v>
      </c>
      <c r="O22" s="87">
        <f t="shared" si="4"/>
        <v>0</v>
      </c>
      <c r="P22" s="79"/>
    </row>
    <row r="23" spans="1:16" x14ac:dyDescent="0.2">
      <c r="A23" s="12" t="s">
        <v>11</v>
      </c>
      <c r="B23" s="13">
        <f>24+17+15</f>
        <v>56</v>
      </c>
      <c r="C23" s="14">
        <v>32</v>
      </c>
      <c r="D23" s="15">
        <f t="shared" ref="D23:D28" si="5">C23/B23%</f>
        <v>57.142857142857139</v>
      </c>
      <c r="E23" s="16">
        <v>3</v>
      </c>
      <c r="F23" s="17" t="s">
        <v>12</v>
      </c>
      <c r="G23" s="51">
        <f>80*11*C23</f>
        <v>28160</v>
      </c>
      <c r="H23" s="60">
        <v>14</v>
      </c>
      <c r="I23" s="66">
        <v>11</v>
      </c>
      <c r="J23" s="51">
        <v>200546</v>
      </c>
      <c r="K23" s="94">
        <f t="shared" si="0"/>
        <v>228706</v>
      </c>
      <c r="L23" s="80">
        <f t="shared" si="1"/>
        <v>22.400000000000002</v>
      </c>
      <c r="M23" s="87">
        <f t="shared" si="2"/>
        <v>49280</v>
      </c>
      <c r="N23" s="87">
        <f t="shared" si="3"/>
        <v>212245.40927310634</v>
      </c>
      <c r="O23" s="87">
        <f t="shared" si="4"/>
        <v>-16460.590726893657</v>
      </c>
      <c r="P23" s="79"/>
    </row>
    <row r="24" spans="1:16" x14ac:dyDescent="0.2">
      <c r="A24" s="12" t="s">
        <v>15</v>
      </c>
      <c r="B24" s="13">
        <f>10+21+24</f>
        <v>55</v>
      </c>
      <c r="C24" s="14">
        <v>48</v>
      </c>
      <c r="D24" s="15">
        <f t="shared" si="5"/>
        <v>87.272727272727266</v>
      </c>
      <c r="E24" s="16">
        <v>4</v>
      </c>
      <c r="F24" s="17" t="s">
        <v>16</v>
      </c>
      <c r="G24" s="51">
        <f>100*11*C24</f>
        <v>52800</v>
      </c>
      <c r="H24" s="60">
        <v>32</v>
      </c>
      <c r="I24" s="66">
        <v>29</v>
      </c>
      <c r="J24" s="51">
        <v>345572</v>
      </c>
      <c r="K24" s="94">
        <f t="shared" si="0"/>
        <v>398372</v>
      </c>
      <c r="L24" s="80">
        <f t="shared" si="1"/>
        <v>22</v>
      </c>
      <c r="M24" s="87">
        <f t="shared" si="2"/>
        <v>48400</v>
      </c>
      <c r="N24" s="87">
        <f t="shared" si="3"/>
        <v>208455.31267894371</v>
      </c>
      <c r="O24" s="87">
        <f t="shared" si="4"/>
        <v>-189916.68732105629</v>
      </c>
      <c r="P24" s="79"/>
    </row>
    <row r="25" spans="1:16" x14ac:dyDescent="0.2">
      <c r="A25" s="12" t="s">
        <v>23</v>
      </c>
      <c r="B25" s="13">
        <f>19+24+20</f>
        <v>63</v>
      </c>
      <c r="C25" s="14">
        <v>53</v>
      </c>
      <c r="D25" s="15">
        <f>C25/B25%</f>
        <v>84.126984126984127</v>
      </c>
      <c r="E25" s="16">
        <v>3</v>
      </c>
      <c r="F25" s="17" t="s">
        <v>24</v>
      </c>
      <c r="G25" s="51">
        <f>100*2*C25</f>
        <v>10600</v>
      </c>
      <c r="H25" s="60">
        <v>25</v>
      </c>
      <c r="I25" s="66">
        <v>26</v>
      </c>
      <c r="J25" s="51">
        <v>310129</v>
      </c>
      <c r="K25" s="94">
        <f t="shared" si="0"/>
        <v>320729</v>
      </c>
      <c r="L25" s="80">
        <f t="shared" si="1"/>
        <v>25.200000000000003</v>
      </c>
      <c r="M25" s="87">
        <f t="shared" si="2"/>
        <v>55440.000000000007</v>
      </c>
      <c r="N25" s="87">
        <f t="shared" si="3"/>
        <v>238776.08543224464</v>
      </c>
      <c r="O25" s="87">
        <f t="shared" si="4"/>
        <v>-81952.914567755361</v>
      </c>
      <c r="P25" s="79"/>
    </row>
    <row r="26" spans="1:16" x14ac:dyDescent="0.2">
      <c r="A26" s="12" t="s">
        <v>22</v>
      </c>
      <c r="B26" s="13">
        <f>18+19+17</f>
        <v>54</v>
      </c>
      <c r="C26" s="14">
        <v>51</v>
      </c>
      <c r="D26" s="15">
        <f t="shared" si="5"/>
        <v>94.444444444444443</v>
      </c>
      <c r="E26" s="16">
        <v>3</v>
      </c>
      <c r="F26" s="17" t="s">
        <v>18</v>
      </c>
      <c r="G26" s="51">
        <v>0</v>
      </c>
      <c r="H26" s="60">
        <v>18</v>
      </c>
      <c r="I26" s="66">
        <v>15</v>
      </c>
      <c r="J26" s="51">
        <v>200546</v>
      </c>
      <c r="K26" s="94">
        <f t="shared" si="0"/>
        <v>200546</v>
      </c>
      <c r="L26" s="80">
        <f t="shared" si="1"/>
        <v>21.6</v>
      </c>
      <c r="M26" s="87">
        <f t="shared" si="2"/>
        <v>47520</v>
      </c>
      <c r="N26" s="87">
        <f t="shared" si="3"/>
        <v>204665.2160847811</v>
      </c>
      <c r="O26" s="87">
        <f t="shared" si="4"/>
        <v>4119.2160847811028</v>
      </c>
      <c r="P26" s="79"/>
    </row>
    <row r="27" spans="1:16" x14ac:dyDescent="0.2">
      <c r="A27" s="19" t="s">
        <v>28</v>
      </c>
      <c r="B27" s="13">
        <f>21+13+18</f>
        <v>52</v>
      </c>
      <c r="C27" s="14">
        <v>31</v>
      </c>
      <c r="D27" s="15">
        <f t="shared" si="5"/>
        <v>59.615384615384613</v>
      </c>
      <c r="E27" s="16">
        <v>3</v>
      </c>
      <c r="F27" s="17" t="s">
        <v>12</v>
      </c>
      <c r="G27" s="51">
        <f>80*11*C27</f>
        <v>27280</v>
      </c>
      <c r="H27" s="60">
        <v>10</v>
      </c>
      <c r="I27" s="73">
        <v>7</v>
      </c>
      <c r="J27" s="51">
        <v>200546</v>
      </c>
      <c r="K27" s="94">
        <f t="shared" si="0"/>
        <v>227826</v>
      </c>
      <c r="L27" s="80">
        <f t="shared" si="1"/>
        <v>20.8</v>
      </c>
      <c r="M27" s="87">
        <f t="shared" si="2"/>
        <v>45760</v>
      </c>
      <c r="N27" s="87">
        <f t="shared" si="3"/>
        <v>197085.02289645586</v>
      </c>
      <c r="O27" s="87">
        <f t="shared" si="4"/>
        <v>-30740.977103544137</v>
      </c>
      <c r="P27" s="79"/>
    </row>
    <row r="28" spans="1:16" x14ac:dyDescent="0.2">
      <c r="A28" s="12" t="s">
        <v>33</v>
      </c>
      <c r="B28" s="13">
        <f>19+23+19</f>
        <v>61</v>
      </c>
      <c r="C28" s="14">
        <v>58</v>
      </c>
      <c r="D28" s="15">
        <f t="shared" si="5"/>
        <v>95.081967213114751</v>
      </c>
      <c r="E28" s="16">
        <v>3</v>
      </c>
      <c r="F28" s="17" t="s">
        <v>18</v>
      </c>
      <c r="G28" s="51">
        <v>0</v>
      </c>
      <c r="H28" s="60">
        <v>35</v>
      </c>
      <c r="I28" s="66">
        <v>27</v>
      </c>
      <c r="J28" s="51">
        <v>321943</v>
      </c>
      <c r="K28" s="94">
        <f t="shared" si="0"/>
        <v>321943</v>
      </c>
      <c r="L28" s="80">
        <f t="shared" si="1"/>
        <v>24.400000000000002</v>
      </c>
      <c r="M28" s="87">
        <f t="shared" si="2"/>
        <v>53680</v>
      </c>
      <c r="N28" s="87">
        <f t="shared" si="3"/>
        <v>231195.8922439194</v>
      </c>
      <c r="O28" s="87">
        <f t="shared" si="4"/>
        <v>-90747.107756080601</v>
      </c>
      <c r="P28" s="79"/>
    </row>
    <row r="29" spans="1:16" x14ac:dyDescent="0.2">
      <c r="A29" s="22"/>
      <c r="B29" s="23"/>
      <c r="C29" s="24"/>
      <c r="D29" s="15"/>
      <c r="E29" s="25"/>
      <c r="F29" s="26"/>
      <c r="G29" s="54"/>
      <c r="H29" s="60"/>
      <c r="I29" s="66"/>
      <c r="J29" s="54"/>
      <c r="K29" s="94">
        <f t="shared" si="0"/>
        <v>0</v>
      </c>
      <c r="L29" s="80">
        <f t="shared" si="1"/>
        <v>0</v>
      </c>
      <c r="M29" s="87"/>
      <c r="N29" s="87">
        <f t="shared" si="3"/>
        <v>0</v>
      </c>
      <c r="O29" s="87"/>
      <c r="P29" s="79"/>
    </row>
    <row r="30" spans="1:16" x14ac:dyDescent="0.2">
      <c r="A30" s="22" t="s">
        <v>34</v>
      </c>
      <c r="B30" s="23">
        <v>0</v>
      </c>
      <c r="C30" s="24">
        <v>0</v>
      </c>
      <c r="D30" s="15">
        <v>0</v>
      </c>
      <c r="E30" s="25">
        <v>0</v>
      </c>
      <c r="F30" s="26">
        <v>0</v>
      </c>
      <c r="G30" s="54">
        <v>0</v>
      </c>
      <c r="H30" s="60"/>
      <c r="I30" s="66"/>
      <c r="J30" s="54"/>
      <c r="K30" s="94">
        <f t="shared" si="0"/>
        <v>0</v>
      </c>
      <c r="L30" s="80">
        <f t="shared" si="1"/>
        <v>0</v>
      </c>
      <c r="M30" s="87"/>
      <c r="N30" s="87"/>
      <c r="O30" s="87"/>
      <c r="P30" s="79"/>
    </row>
    <row r="31" spans="1:16" ht="13.5" thickBot="1" x14ac:dyDescent="0.25">
      <c r="A31" s="22"/>
      <c r="B31" s="23"/>
      <c r="C31" s="24"/>
      <c r="D31" s="23"/>
      <c r="E31" s="25"/>
      <c r="F31" s="23"/>
      <c r="G31" s="55"/>
      <c r="H31" s="61"/>
      <c r="I31" s="67"/>
      <c r="J31" s="55"/>
      <c r="K31" s="93"/>
      <c r="L31" s="80">
        <f t="shared" si="1"/>
        <v>0</v>
      </c>
      <c r="M31" s="85"/>
      <c r="N31" s="85"/>
      <c r="O31" s="85"/>
      <c r="P31" s="79"/>
    </row>
    <row r="32" spans="1:16" ht="13.5" thickBot="1" x14ac:dyDescent="0.25">
      <c r="A32" s="27" t="s">
        <v>35</v>
      </c>
      <c r="B32" s="28">
        <f>SUM(B5:B31)</f>
        <v>1439</v>
      </c>
      <c r="C32" s="28">
        <f>SUM(C5:C31)</f>
        <v>1103</v>
      </c>
      <c r="D32" s="74">
        <f>C32/B32%</f>
        <v>76.650451702571232</v>
      </c>
      <c r="E32" s="28"/>
      <c r="F32" s="28"/>
      <c r="G32" s="28">
        <f>SUM(G5:G31)</f>
        <v>226690</v>
      </c>
      <c r="H32" s="62">
        <f>SUM(H5:H31)</f>
        <v>408</v>
      </c>
      <c r="I32" s="68">
        <f>SUM(I5:I31)</f>
        <v>357</v>
      </c>
      <c r="J32" s="28">
        <f>SUM(J7:J31)</f>
        <v>4723226</v>
      </c>
      <c r="K32" s="28">
        <f>SUM(K7:K31)</f>
        <v>4949916</v>
      </c>
      <c r="L32" s="82">
        <f>SUM(L5:L31)</f>
        <v>575.59999999999991</v>
      </c>
      <c r="M32" s="81">
        <f>SUM(M5:M31)</f>
        <v>1266520</v>
      </c>
      <c r="N32" s="81">
        <f t="shared" ref="N32:O32" si="6">SUM(N5:N31)</f>
        <v>5453948.9989999989</v>
      </c>
      <c r="O32" s="81">
        <f t="shared" si="6"/>
        <v>504032.99900000007</v>
      </c>
      <c r="P32" s="79"/>
    </row>
    <row r="33" spans="1:16" x14ac:dyDescent="0.2">
      <c r="A33" s="10"/>
      <c r="B33" s="10"/>
      <c r="C33" s="30"/>
      <c r="D33" s="10"/>
      <c r="E33" s="11"/>
      <c r="F33" s="10"/>
      <c r="G33" s="50"/>
      <c r="H33" s="59"/>
      <c r="I33" s="65"/>
      <c r="J33" s="50"/>
      <c r="K33" s="93"/>
      <c r="L33" s="79"/>
      <c r="M33" s="85"/>
      <c r="N33" s="85"/>
      <c r="O33" s="85"/>
      <c r="P33" s="79"/>
    </row>
    <row r="34" spans="1:16" x14ac:dyDescent="0.2">
      <c r="A34" s="31" t="s">
        <v>36</v>
      </c>
      <c r="B34" s="10"/>
      <c r="C34" s="30"/>
      <c r="D34" s="10"/>
      <c r="E34" s="11"/>
      <c r="F34" s="10">
        <f>1439*40%</f>
        <v>575.6</v>
      </c>
      <c r="G34" s="50"/>
      <c r="H34" s="59"/>
      <c r="I34" s="65"/>
      <c r="J34" s="50"/>
      <c r="K34" s="93"/>
      <c r="L34" s="79"/>
      <c r="M34" s="85"/>
      <c r="N34" s="85"/>
      <c r="O34" s="85"/>
      <c r="P34" s="79"/>
    </row>
    <row r="35" spans="1:16" x14ac:dyDescent="0.2">
      <c r="A35" s="12" t="s">
        <v>37</v>
      </c>
      <c r="B35" s="13">
        <f>47+63+74</f>
        <v>184</v>
      </c>
      <c r="C35" s="14">
        <v>173</v>
      </c>
      <c r="D35" s="15">
        <f>C35/B35%</f>
        <v>94.021739130434781</v>
      </c>
      <c r="E35" s="32"/>
      <c r="F35" s="17"/>
      <c r="G35" s="51"/>
      <c r="H35" s="60">
        <v>125</v>
      </c>
      <c r="I35" s="66">
        <v>108</v>
      </c>
      <c r="J35" s="51">
        <v>1280685</v>
      </c>
      <c r="K35" s="94"/>
      <c r="L35" s="80">
        <f>C35</f>
        <v>173</v>
      </c>
      <c r="M35" s="87"/>
      <c r="N35" s="87"/>
      <c r="O35" s="87"/>
      <c r="P35" s="79"/>
    </row>
    <row r="36" spans="1:16" ht="24" x14ac:dyDescent="0.2">
      <c r="A36" s="33" t="s">
        <v>38</v>
      </c>
      <c r="B36" s="34"/>
      <c r="C36" s="35"/>
      <c r="D36" s="36"/>
      <c r="E36" s="37"/>
      <c r="F36" s="38" t="s">
        <v>39</v>
      </c>
      <c r="G36" s="57">
        <f>510*11*C35</f>
        <v>970530</v>
      </c>
      <c r="H36" s="63"/>
      <c r="I36" s="69"/>
      <c r="J36" s="57"/>
      <c r="K36" s="94"/>
      <c r="L36" s="79"/>
      <c r="M36" s="85"/>
      <c r="N36" s="85"/>
      <c r="O36" s="85"/>
      <c r="P36" s="79"/>
    </row>
    <row r="37" spans="1:16" ht="13.5" thickBot="1" x14ac:dyDescent="0.25">
      <c r="A37" s="39"/>
      <c r="B37" s="34"/>
      <c r="C37" s="35"/>
      <c r="D37" s="36"/>
      <c r="E37" s="37"/>
      <c r="F37" s="38"/>
      <c r="G37" s="57"/>
      <c r="H37" s="63"/>
      <c r="I37" s="69"/>
      <c r="J37" s="57"/>
      <c r="K37" s="94"/>
      <c r="L37" s="79"/>
      <c r="M37" s="88"/>
      <c r="N37" s="88"/>
      <c r="O37" s="88"/>
      <c r="P37" s="79"/>
    </row>
    <row r="38" spans="1:16" ht="13.5" thickBot="1" x14ac:dyDescent="0.25">
      <c r="A38" s="27" t="s">
        <v>6</v>
      </c>
      <c r="B38" s="28">
        <f>SUM(B32:B35)</f>
        <v>1623</v>
      </c>
      <c r="C38" s="28">
        <f t="shared" ref="C38" si="7">SUM(C32:C35)</f>
        <v>1276</v>
      </c>
      <c r="D38" s="29">
        <f>C38/B38%</f>
        <v>78.61983980283425</v>
      </c>
      <c r="E38" s="40"/>
      <c r="F38" s="28"/>
      <c r="G38" s="56">
        <f>SUM(G32:G37)</f>
        <v>1197220</v>
      </c>
      <c r="H38" s="62">
        <f>SUM(H32:H37)</f>
        <v>533</v>
      </c>
      <c r="I38" s="68">
        <f>SUM(I32:I37)</f>
        <v>465</v>
      </c>
      <c r="J38" s="56">
        <f>SUM(J32:J36)</f>
        <v>6003911</v>
      </c>
      <c r="K38" s="56"/>
      <c r="L38" s="81">
        <f>SUM(L32:L35)</f>
        <v>748.59999999999991</v>
      </c>
      <c r="M38" s="83"/>
      <c r="N38" s="83"/>
      <c r="O38" s="83"/>
      <c r="P38" s="79"/>
    </row>
    <row r="39" spans="1:16" x14ac:dyDescent="0.2">
      <c r="A39" s="4"/>
      <c r="B39" s="4"/>
      <c r="E39" s="5"/>
    </row>
    <row r="40" spans="1:16" x14ac:dyDescent="0.2">
      <c r="A40" s="41"/>
      <c r="B40" s="4"/>
      <c r="E40" s="5"/>
      <c r="L40" s="78"/>
      <c r="M40" s="1"/>
      <c r="N40" s="1"/>
      <c r="O40" s="1"/>
    </row>
    <row r="41" spans="1:16" x14ac:dyDescent="0.2">
      <c r="A41" s="41" t="s">
        <v>40</v>
      </c>
      <c r="B41" s="4"/>
      <c r="C41" s="42">
        <f>11311*1.0131*1.0095*1.0213</f>
        <v>11814.435426159134</v>
      </c>
      <c r="E41" s="5"/>
    </row>
    <row r="42" spans="1:16" x14ac:dyDescent="0.2">
      <c r="A42" s="4"/>
      <c r="B42" s="4"/>
      <c r="E42" s="5"/>
    </row>
    <row r="43" spans="1:16" x14ac:dyDescent="0.2">
      <c r="A43" s="41" t="s">
        <v>41</v>
      </c>
      <c r="B43" s="4"/>
      <c r="C43" s="42">
        <f>192000*1.0131*1.0095*1.0213</f>
        <v>200545.62831072003</v>
      </c>
      <c r="D43" s="4" t="s">
        <v>42</v>
      </c>
      <c r="E43" s="5"/>
      <c r="F43" s="4" t="s">
        <v>49</v>
      </c>
    </row>
    <row r="44" spans="1:16" x14ac:dyDescent="0.2">
      <c r="A44" s="4"/>
      <c r="B44" s="4"/>
      <c r="E44" s="5"/>
      <c r="F44" s="4" t="s">
        <v>50</v>
      </c>
      <c r="I44" s="72">
        <f>C47/I38</f>
        <v>13053.660212903225</v>
      </c>
      <c r="K44" s="72">
        <f>C51/L38</f>
        <v>7304.7208108469149</v>
      </c>
    </row>
    <row r="46" spans="1:16" x14ac:dyDescent="0.2">
      <c r="A46" s="70" t="s">
        <v>48</v>
      </c>
      <c r="F46" s="4" t="s">
        <v>62</v>
      </c>
      <c r="I46" s="72">
        <f>I27+I15+I13</f>
        <v>34</v>
      </c>
    </row>
    <row r="47" spans="1:16" x14ac:dyDescent="0.2">
      <c r="A47" t="s">
        <v>1</v>
      </c>
      <c r="C47" s="1">
        <f>6003909*1.011</f>
        <v>6069951.9989999998</v>
      </c>
      <c r="F47" s="4" t="s">
        <v>63</v>
      </c>
      <c r="I47" s="72">
        <f>I38-I46</f>
        <v>431</v>
      </c>
    </row>
    <row r="48" spans="1:16" x14ac:dyDescent="0.2">
      <c r="A48" t="s">
        <v>2</v>
      </c>
      <c r="C48" s="1">
        <v>0</v>
      </c>
    </row>
    <row r="49" spans="1:11" x14ac:dyDescent="0.2">
      <c r="A49" s="71" t="s">
        <v>52</v>
      </c>
      <c r="C49" s="1">
        <v>0</v>
      </c>
      <c r="F49" s="4" t="s">
        <v>51</v>
      </c>
      <c r="I49" s="72">
        <f>(C47+C50)/I47</f>
        <v>12687.503477958237</v>
      </c>
      <c r="K49" s="72"/>
    </row>
    <row r="50" spans="1:11" x14ac:dyDescent="0.2">
      <c r="A50" s="71" t="s">
        <v>73</v>
      </c>
      <c r="C50" s="1">
        <f>3*-200546</f>
        <v>-601638</v>
      </c>
      <c r="I50" s="72"/>
    </row>
    <row r="51" spans="1:11" ht="13.5" thickBot="1" x14ac:dyDescent="0.25">
      <c r="A51" t="s">
        <v>3</v>
      </c>
      <c r="C51" s="2">
        <f>SUM(C47:C50)</f>
        <v>5468313.9989999998</v>
      </c>
    </row>
    <row r="52" spans="1:11" ht="24.75" thickTop="1" x14ac:dyDescent="0.2">
      <c r="F52" s="77" t="s">
        <v>60</v>
      </c>
      <c r="G52" s="77" t="s">
        <v>61</v>
      </c>
      <c r="H52" t="s">
        <v>65</v>
      </c>
    </row>
    <row r="53" spans="1:11" x14ac:dyDescent="0.2">
      <c r="A53" s="71" t="s">
        <v>55</v>
      </c>
      <c r="C53" s="1">
        <v>1280685</v>
      </c>
      <c r="F53" s="75">
        <f>C53/I35</f>
        <v>11858.194444444445</v>
      </c>
      <c r="G53" s="48">
        <f>C53/L35</f>
        <v>7402.8034682080925</v>
      </c>
      <c r="H53" s="48">
        <f>500*11</f>
        <v>5500</v>
      </c>
      <c r="I53" s="1">
        <f>G53+H53</f>
        <v>12902.803468208092</v>
      </c>
    </row>
    <row r="54" spans="1:11" x14ac:dyDescent="0.2">
      <c r="C54" s="76"/>
      <c r="H54" s="48"/>
    </row>
    <row r="55" spans="1:11" x14ac:dyDescent="0.2">
      <c r="A55" s="71" t="s">
        <v>56</v>
      </c>
      <c r="C55" s="48">
        <f>C51-C53</f>
        <v>4187628.9989999998</v>
      </c>
      <c r="F55" s="75">
        <f>C55/I32</f>
        <v>11730.053218487394</v>
      </c>
      <c r="G55" s="48">
        <f>C55/L32</f>
        <v>7275.2414854065328</v>
      </c>
      <c r="H55" s="48">
        <f>200*11</f>
        <v>2200</v>
      </c>
      <c r="I55" s="1">
        <f>G55+H55</f>
        <v>9475.2414854065319</v>
      </c>
    </row>
    <row r="57" spans="1:11" x14ac:dyDescent="0.2">
      <c r="A57" s="71" t="s">
        <v>58</v>
      </c>
      <c r="B57" s="1">
        <v>200</v>
      </c>
    </row>
    <row r="58" spans="1:11" x14ac:dyDescent="0.2">
      <c r="A58" s="71" t="s">
        <v>59</v>
      </c>
      <c r="B58" s="1">
        <f>B57*11</f>
        <v>2200</v>
      </c>
    </row>
    <row r="60" spans="1:11" x14ac:dyDescent="0.2">
      <c r="A60" t="s">
        <v>72</v>
      </c>
    </row>
  </sheetData>
  <pageMargins left="0.74803149606299213" right="0.74803149606299213" top="0.98425196850393704" bottom="0.98425196850393704" header="0.51181102362204722" footer="0.51181102362204722"/>
  <pageSetup paperSize="8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showGridLines="0" tabSelected="1" zoomScale="85" zoomScaleNormal="85" workbookViewId="0">
      <selection activeCell="L13" sqref="L13"/>
    </sheetView>
  </sheetViews>
  <sheetFormatPr defaultRowHeight="12.75" x14ac:dyDescent="0.2"/>
  <cols>
    <col min="1" max="1" width="0.7109375" customWidth="1"/>
    <col min="2" max="2" width="1.42578125" customWidth="1"/>
    <col min="3" max="3" width="33.28515625" customWidth="1"/>
    <col min="4" max="4" width="9.42578125" style="97" customWidth="1"/>
    <col min="5" max="5" width="10.140625" style="97" customWidth="1"/>
    <col min="6" max="6" width="14.42578125" style="97" customWidth="1"/>
    <col min="7" max="7" width="3" customWidth="1"/>
    <col min="8" max="8" width="20.7109375" customWidth="1"/>
  </cols>
  <sheetData>
    <row r="1" spans="2:12" s="119" customFormat="1" ht="20.25" x14ac:dyDescent="0.3">
      <c r="C1" s="119" t="s">
        <v>85</v>
      </c>
      <c r="D1" s="120"/>
      <c r="E1" s="120"/>
      <c r="F1" s="120"/>
    </row>
    <row r="2" spans="2:12" ht="13.5" thickBot="1" x14ac:dyDescent="0.25"/>
    <row r="3" spans="2:12" s="101" customFormat="1" ht="50.25" customHeight="1" thickTop="1" thickBot="1" x14ac:dyDescent="0.25">
      <c r="B3" s="136" t="s">
        <v>86</v>
      </c>
      <c r="C3" s="137"/>
      <c r="D3" s="122" t="s">
        <v>87</v>
      </c>
      <c r="E3" s="122" t="s">
        <v>84</v>
      </c>
      <c r="F3" s="123" t="s">
        <v>83</v>
      </c>
      <c r="H3" s="107" t="s">
        <v>88</v>
      </c>
      <c r="I3" s="122" t="s">
        <v>87</v>
      </c>
      <c r="J3" s="122" t="s">
        <v>84</v>
      </c>
      <c r="K3" s="123" t="s">
        <v>83</v>
      </c>
    </row>
    <row r="4" spans="2:12" ht="12" customHeight="1" x14ac:dyDescent="0.2">
      <c r="B4" s="104"/>
      <c r="C4" s="103"/>
      <c r="D4" s="98"/>
      <c r="E4" s="98"/>
      <c r="F4" s="99"/>
      <c r="H4" s="104"/>
      <c r="I4" s="108"/>
      <c r="J4" s="108"/>
      <c r="K4" s="124"/>
    </row>
    <row r="5" spans="2:12" ht="18.75" customHeight="1" x14ac:dyDescent="0.2">
      <c r="B5" s="104"/>
      <c r="C5" s="132" t="s">
        <v>21</v>
      </c>
      <c r="D5" s="98">
        <v>3</v>
      </c>
      <c r="E5" s="98">
        <v>40</v>
      </c>
      <c r="F5" s="99">
        <f>D5*E5</f>
        <v>120</v>
      </c>
      <c r="H5" s="104" t="s">
        <v>90</v>
      </c>
      <c r="I5" s="108">
        <v>2</v>
      </c>
      <c r="J5" s="108">
        <v>34</v>
      </c>
      <c r="K5" s="124">
        <f>I5*J5</f>
        <v>68</v>
      </c>
    </row>
    <row r="6" spans="2:12" s="112" customFormat="1" ht="18.75" customHeight="1" x14ac:dyDescent="0.2">
      <c r="B6" s="113"/>
      <c r="C6" s="133" t="s">
        <v>17</v>
      </c>
      <c r="D6" s="109">
        <v>4</v>
      </c>
      <c r="E6" s="109">
        <v>40</v>
      </c>
      <c r="F6" s="110">
        <f t="shared" ref="F6:F19" si="0">D6*E6</f>
        <v>160</v>
      </c>
      <c r="H6" s="126" t="s">
        <v>77</v>
      </c>
      <c r="I6" s="109">
        <v>1</v>
      </c>
      <c r="J6" s="109">
        <v>26</v>
      </c>
      <c r="K6" s="110">
        <f>I6*J6</f>
        <v>26</v>
      </c>
    </row>
    <row r="7" spans="2:12" s="112" customFormat="1" ht="18.75" customHeight="1" x14ac:dyDescent="0.2">
      <c r="B7" s="113"/>
      <c r="C7" s="134" t="s">
        <v>4</v>
      </c>
      <c r="D7" s="111">
        <v>4</v>
      </c>
      <c r="E7" s="111">
        <v>40</v>
      </c>
      <c r="F7" s="125">
        <f t="shared" si="0"/>
        <v>160</v>
      </c>
      <c r="H7" s="127" t="s">
        <v>75</v>
      </c>
      <c r="I7" s="111">
        <v>1</v>
      </c>
      <c r="J7" s="111">
        <v>34</v>
      </c>
      <c r="K7" s="125">
        <f t="shared" ref="K7" si="1">I7*J7</f>
        <v>34</v>
      </c>
    </row>
    <row r="8" spans="2:12" s="112" customFormat="1" ht="18.75" customHeight="1" x14ac:dyDescent="0.2">
      <c r="B8" s="113"/>
      <c r="C8" s="133" t="s">
        <v>25</v>
      </c>
      <c r="D8" s="109">
        <v>4</v>
      </c>
      <c r="E8" s="109">
        <v>40</v>
      </c>
      <c r="F8" s="110">
        <f t="shared" si="0"/>
        <v>160</v>
      </c>
      <c r="H8" s="126" t="s">
        <v>78</v>
      </c>
      <c r="I8" s="109">
        <v>1</v>
      </c>
      <c r="J8" s="109">
        <v>38</v>
      </c>
      <c r="K8" s="110">
        <f>I8*J8</f>
        <v>38</v>
      </c>
    </row>
    <row r="9" spans="2:12" s="112" customFormat="1" ht="18.75" customHeight="1" x14ac:dyDescent="0.2">
      <c r="B9" s="113"/>
      <c r="C9" s="134" t="s">
        <v>5</v>
      </c>
      <c r="D9" s="128">
        <v>3</v>
      </c>
      <c r="E9" s="111">
        <v>40</v>
      </c>
      <c r="F9" s="125">
        <f t="shared" si="0"/>
        <v>120</v>
      </c>
      <c r="H9" s="127" t="s">
        <v>74</v>
      </c>
      <c r="I9" s="111">
        <v>3</v>
      </c>
      <c r="J9" s="111">
        <v>34</v>
      </c>
      <c r="K9" s="125">
        <f>I9*J9</f>
        <v>102</v>
      </c>
    </row>
    <row r="10" spans="2:12" s="112" customFormat="1" ht="18.75" customHeight="1" x14ac:dyDescent="0.2">
      <c r="B10" s="113"/>
      <c r="C10" s="133" t="s">
        <v>13</v>
      </c>
      <c r="D10" s="109">
        <v>3</v>
      </c>
      <c r="E10" s="109">
        <v>40</v>
      </c>
      <c r="F10" s="110">
        <f t="shared" si="0"/>
        <v>120</v>
      </c>
      <c r="H10" s="126" t="s">
        <v>76</v>
      </c>
      <c r="I10" s="109">
        <v>2</v>
      </c>
      <c r="J10" s="109">
        <v>40</v>
      </c>
      <c r="K10" s="110">
        <f>I10*J10</f>
        <v>80</v>
      </c>
    </row>
    <row r="11" spans="2:12" s="112" customFormat="1" ht="18.75" customHeight="1" x14ac:dyDescent="0.2">
      <c r="B11" s="113"/>
      <c r="C11" s="134" t="s">
        <v>20</v>
      </c>
      <c r="D11" s="128">
        <v>3</v>
      </c>
      <c r="E11" s="111">
        <v>40</v>
      </c>
      <c r="F11" s="125">
        <f t="shared" si="0"/>
        <v>120</v>
      </c>
      <c r="H11" s="127" t="s">
        <v>80</v>
      </c>
      <c r="I11" s="111">
        <v>2</v>
      </c>
      <c r="J11" s="111">
        <v>38</v>
      </c>
      <c r="K11" s="125">
        <f>I11*J11</f>
        <v>76</v>
      </c>
    </row>
    <row r="12" spans="2:12" s="112" customFormat="1" ht="18.75" customHeight="1" x14ac:dyDescent="0.2">
      <c r="B12" s="113"/>
      <c r="C12" s="133" t="s">
        <v>29</v>
      </c>
      <c r="D12" s="109">
        <v>3</v>
      </c>
      <c r="E12" s="109">
        <v>40</v>
      </c>
      <c r="F12" s="110">
        <f t="shared" si="0"/>
        <v>120</v>
      </c>
      <c r="H12" s="126"/>
      <c r="I12" s="109"/>
      <c r="J12" s="109"/>
      <c r="K12" s="110"/>
    </row>
    <row r="13" spans="2:12" s="112" customFormat="1" ht="18.75" customHeight="1" x14ac:dyDescent="0.2">
      <c r="B13" s="113"/>
      <c r="C13" s="134" t="s">
        <v>31</v>
      </c>
      <c r="D13" s="128">
        <v>3</v>
      </c>
      <c r="E13" s="111">
        <v>40</v>
      </c>
      <c r="F13" s="125">
        <f t="shared" si="0"/>
        <v>120</v>
      </c>
      <c r="H13" s="127" t="s">
        <v>81</v>
      </c>
      <c r="I13" s="111">
        <v>4</v>
      </c>
      <c r="J13" s="111">
        <v>41</v>
      </c>
      <c r="K13" s="125">
        <f>I13*J13</f>
        <v>164</v>
      </c>
      <c r="L13" s="135"/>
    </row>
    <row r="14" spans="2:12" s="112" customFormat="1" ht="18.75" customHeight="1" x14ac:dyDescent="0.2">
      <c r="B14" s="113"/>
      <c r="C14" s="133" t="s">
        <v>32</v>
      </c>
      <c r="D14" s="109">
        <v>4</v>
      </c>
      <c r="E14" s="109">
        <v>40</v>
      </c>
      <c r="F14" s="110">
        <f t="shared" si="0"/>
        <v>160</v>
      </c>
      <c r="H14" s="126"/>
      <c r="I14" s="109"/>
      <c r="J14" s="109"/>
      <c r="K14" s="110"/>
    </row>
    <row r="15" spans="2:12" ht="18.75" customHeight="1" thickBot="1" x14ac:dyDescent="0.25">
      <c r="B15" s="104"/>
      <c r="C15" s="132" t="s">
        <v>11</v>
      </c>
      <c r="D15" s="98">
        <v>3</v>
      </c>
      <c r="E15" s="98">
        <v>40</v>
      </c>
      <c r="F15" s="99">
        <f t="shared" si="0"/>
        <v>120</v>
      </c>
      <c r="H15" s="129" t="s">
        <v>6</v>
      </c>
      <c r="I15" s="130"/>
      <c r="J15" s="130"/>
      <c r="K15" s="131"/>
    </row>
    <row r="16" spans="2:12" s="112" customFormat="1" ht="18.75" customHeight="1" thickTop="1" x14ac:dyDescent="0.2">
      <c r="B16" s="113"/>
      <c r="C16" s="133" t="s">
        <v>15</v>
      </c>
      <c r="D16" s="109">
        <v>4</v>
      </c>
      <c r="E16" s="109">
        <v>40</v>
      </c>
      <c r="F16" s="110">
        <f t="shared" si="0"/>
        <v>160</v>
      </c>
    </row>
    <row r="17" spans="2:11" s="112" customFormat="1" ht="18.75" customHeight="1" x14ac:dyDescent="0.2">
      <c r="B17" s="113"/>
      <c r="C17" s="134" t="s">
        <v>23</v>
      </c>
      <c r="D17" s="111">
        <v>3</v>
      </c>
      <c r="E17" s="111">
        <v>40</v>
      </c>
      <c r="F17" s="125">
        <f t="shared" si="0"/>
        <v>120</v>
      </c>
      <c r="H17" s="115" t="s">
        <v>82</v>
      </c>
      <c r="I17" s="114">
        <v>1</v>
      </c>
      <c r="J17" s="114">
        <v>36</v>
      </c>
      <c r="K17" s="114">
        <f>I17*J17</f>
        <v>36</v>
      </c>
    </row>
    <row r="18" spans="2:11" s="112" customFormat="1" ht="18.75" customHeight="1" x14ac:dyDescent="0.2">
      <c r="B18" s="113"/>
      <c r="C18" s="133" t="s">
        <v>22</v>
      </c>
      <c r="D18" s="109">
        <v>3</v>
      </c>
      <c r="E18" s="109">
        <v>40</v>
      </c>
      <c r="F18" s="110">
        <f t="shared" si="0"/>
        <v>120</v>
      </c>
      <c r="H18"/>
      <c r="I18"/>
      <c r="J18"/>
      <c r="K18"/>
    </row>
    <row r="19" spans="2:11" s="112" customFormat="1" ht="18.75" customHeight="1" x14ac:dyDescent="0.2">
      <c r="B19" s="113"/>
      <c r="C19" s="134" t="s">
        <v>33</v>
      </c>
      <c r="D19" s="111">
        <v>3</v>
      </c>
      <c r="E19" s="111">
        <v>40</v>
      </c>
      <c r="F19" s="125">
        <f t="shared" si="0"/>
        <v>120</v>
      </c>
      <c r="H19"/>
      <c r="I19"/>
      <c r="J19"/>
      <c r="K19"/>
    </row>
    <row r="20" spans="2:11" ht="18.75" customHeight="1" x14ac:dyDescent="0.2">
      <c r="B20" s="104"/>
      <c r="C20" s="132"/>
      <c r="D20" s="98"/>
      <c r="E20" s="98"/>
      <c r="F20" s="99"/>
    </row>
    <row r="21" spans="2:11" s="112" customFormat="1" ht="18.75" customHeight="1" x14ac:dyDescent="0.2">
      <c r="B21" s="113"/>
      <c r="C21" s="133" t="s">
        <v>89</v>
      </c>
      <c r="D21" s="109">
        <v>5</v>
      </c>
      <c r="E21" s="109">
        <v>47</v>
      </c>
      <c r="F21" s="110">
        <f>D21*E21</f>
        <v>235</v>
      </c>
      <c r="H21"/>
      <c r="I21"/>
      <c r="J21"/>
      <c r="K21"/>
    </row>
    <row r="22" spans="2:11" ht="18.75" customHeight="1" x14ac:dyDescent="0.2">
      <c r="B22" s="104"/>
      <c r="C22" s="105"/>
      <c r="D22" s="98"/>
      <c r="E22" s="98"/>
      <c r="F22" s="99"/>
    </row>
    <row r="23" spans="2:11" ht="11.25" customHeight="1" thickBot="1" x14ac:dyDescent="0.25">
      <c r="B23" s="117" t="s">
        <v>79</v>
      </c>
      <c r="C23" s="118"/>
      <c r="D23" s="106"/>
      <c r="E23" s="106"/>
      <c r="F23" s="121"/>
    </row>
    <row r="24" spans="2:11" ht="18.75" customHeight="1" thickTop="1" x14ac:dyDescent="0.2">
      <c r="B24" s="116"/>
      <c r="C24" s="116"/>
      <c r="D24" s="98"/>
      <c r="E24" s="98"/>
      <c r="F24" s="98"/>
    </row>
    <row r="25" spans="2:11" ht="11.25" customHeight="1" x14ac:dyDescent="0.2">
      <c r="C25" s="102"/>
      <c r="D25" s="100"/>
      <c r="E25" s="100"/>
      <c r="F25" s="100"/>
    </row>
    <row r="26" spans="2:11" x14ac:dyDescent="0.2">
      <c r="C26" s="102"/>
      <c r="D26" s="100"/>
      <c r="E26" s="100"/>
      <c r="F26" s="100"/>
    </row>
    <row r="27" spans="2:11" x14ac:dyDescent="0.2">
      <c r="D27" s="100"/>
      <c r="E27" s="100"/>
      <c r="F27" s="100"/>
    </row>
    <row r="28" spans="2:11" x14ac:dyDescent="0.2">
      <c r="D28" s="100"/>
      <c r="E28" s="100"/>
      <c r="F28" s="100"/>
    </row>
    <row r="29" spans="2:11" x14ac:dyDescent="0.2">
      <c r="D29" s="100"/>
      <c r="E29" s="100"/>
      <c r="F29" s="100"/>
    </row>
    <row r="30" spans="2:11" x14ac:dyDescent="0.2">
      <c r="D30" s="100"/>
      <c r="E30" s="100"/>
      <c r="F30" s="100"/>
    </row>
    <row r="31" spans="2:11" x14ac:dyDescent="0.2">
      <c r="D31" s="100"/>
      <c r="E31" s="100"/>
      <c r="F31" s="100"/>
    </row>
    <row r="32" spans="2:11" x14ac:dyDescent="0.2">
      <c r="D32" s="100"/>
      <c r="E32" s="100"/>
      <c r="F32" s="100"/>
    </row>
    <row r="33" spans="4:6" x14ac:dyDescent="0.2">
      <c r="D33" s="100"/>
      <c r="E33" s="100"/>
      <c r="F33" s="100"/>
    </row>
    <row r="34" spans="4:6" x14ac:dyDescent="0.2">
      <c r="D34" s="100"/>
      <c r="E34" s="100"/>
      <c r="F34" s="100"/>
    </row>
    <row r="35" spans="4:6" x14ac:dyDescent="0.2">
      <c r="D35" s="100"/>
      <c r="E35" s="100"/>
      <c r="F35" s="100"/>
    </row>
    <row r="36" spans="4:6" x14ac:dyDescent="0.2">
      <c r="D36" s="100"/>
      <c r="E36" s="100"/>
      <c r="F36" s="100"/>
    </row>
    <row r="37" spans="4:6" x14ac:dyDescent="0.2">
      <c r="D37" s="100"/>
      <c r="E37" s="100"/>
      <c r="F37" s="100"/>
    </row>
    <row r="38" spans="4:6" x14ac:dyDescent="0.2">
      <c r="D38" s="100"/>
      <c r="E38" s="100"/>
      <c r="F38" s="100"/>
    </row>
    <row r="39" spans="4:6" x14ac:dyDescent="0.2">
      <c r="D39" s="100"/>
      <c r="E39" s="100"/>
      <c r="F39" s="100"/>
    </row>
  </sheetData>
  <mergeCells count="1">
    <mergeCell ref="B3:C3"/>
  </mergeCells>
  <pageMargins left="3.937007874015748E-2" right="3.937007874015748E-2" top="0.31496062992125984" bottom="0.31496062992125984" header="0.31496062992125984" footer="0.31496062992125984"/>
  <pageSetup paperSize="8" scale="85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2018-05-14T11:00:00+00:00</MeetingStartDate>
    <EnclosureFileNumber xmlns="d08b57ff-b9b7-4581-975d-98f87b579a51">67217/18</EnclosureFileNumber>
    <AgendaId xmlns="d08b57ff-b9b7-4581-975d-98f87b579a51">8309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2883127</FusionId>
    <AgendaAccessLevelName xmlns="d08b57ff-b9b7-4581-975d-98f87b579a51">Åben</AgendaAccessLevelName>
    <UNC xmlns="d08b57ff-b9b7-4581-975d-98f87b579a51">2622708</UNC>
    <MeetingTitle xmlns="d08b57ff-b9b7-4581-975d-98f87b579a51">14-05-2018</MeetingTitle>
    <MeetingDateAndTime xmlns="d08b57ff-b9b7-4581-975d-98f87b579a51">14-05-2018 fra 13:00 - 16:30</MeetingDateAndTime>
    <MeetingEndDate xmlns="d08b57ff-b9b7-4581-975d-98f87b579a51">2018-05-14T14:30:00+00:00</MeetingEndDate>
    <PWDescription xmlns="d08b57ff-b9b7-4581-975d-98f87b579a51">Åbningsdage i juniorklubber og ungdomsklubber 2018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1C0FF5-026A-4663-B25F-DAEBABAA675C}"/>
</file>

<file path=customXml/itemProps2.xml><?xml version="1.0" encoding="utf-8"?>
<ds:datastoreItem xmlns:ds="http://schemas.openxmlformats.org/officeDocument/2006/customXml" ds:itemID="{AC28B14E-E51B-4B00-9745-E95F2EA55EDD}"/>
</file>

<file path=customXml/itemProps3.xml><?xml version="1.0" encoding="utf-8"?>
<ds:datastoreItem xmlns:ds="http://schemas.openxmlformats.org/officeDocument/2006/customXml" ds:itemID="{DF6B573E-9085-4771-97E1-5D3FBFAA2F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Jr. Beregning Opr.</vt:lpstr>
      <vt:lpstr>Ark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-14-05-2018 - Bilag 72.03 Åbningsdage i juniorklubber og ungdomsklubber 2018</dc:title>
  <dc:creator>Lissy Andersen</dc:creator>
  <cp:lastModifiedBy>Birthe Laustrup Carstensen</cp:lastModifiedBy>
  <cp:lastPrinted>2018-04-25T13:52:20Z</cp:lastPrinted>
  <dcterms:created xsi:type="dcterms:W3CDTF">1996-11-12T13:28:11Z</dcterms:created>
  <dcterms:modified xsi:type="dcterms:W3CDTF">2018-05-09T08:28:10Z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{DB28D832-3202-4C38-8683-2F7902C43F80}</vt:lpwstr>
  </property>
  <property fmtid="{D5CDD505-2E9C-101B-9397-08002B2CF9AE}" pid="3" name="ContentTypeId">
    <vt:lpwstr>0x0101003D7BFBD5F481E14985D820F2A1C38BC800C867DCA9723D5D41B98144D00A8161C2</vt:lpwstr>
  </property>
</Properties>
</file>